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4800" windowHeight="11205" tabRatio="908"/>
  </bookViews>
  <sheets>
    <sheet name=" Ітог для ріш" sheetId="87" r:id="rId1"/>
    <sheet name="Чис_двірн" sheetId="23" state="hidden" r:id="rId2"/>
    <sheet name="Послуги" sheetId="42" state="hidden" r:id="rId3"/>
    <sheet name="акт" sheetId="19" state="hidden" r:id="rId4"/>
    <sheet name="НРВ" sheetId="28" state="hidden" r:id="rId5"/>
    <sheet name="ЗП" sheetId="18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1">#REF!</definedName>
    <definedName name="_2">[1]внутрянка!#REF!</definedName>
    <definedName name="_3">[1]внутрянка!#REF!</definedName>
    <definedName name="_4">#REF!</definedName>
    <definedName name="_Toc93062944_22">[2]внутрянка!#REF!</definedName>
    <definedName name="_Toc93062946_22">[2]промивки!#REF!</definedName>
    <definedName name="_xlnm._FilterDatabase" localSheetId="0" hidden="1">' Ітог для ріш'!$A$7:$AI$7</definedName>
    <definedName name="_xlnm._FilterDatabase" localSheetId="3" hidden="1">акт!$A$17:$AT$248</definedName>
    <definedName name="_xlnm._FilterDatabase" localSheetId="5" hidden="1">ЗП!$A$21:$Q$105</definedName>
    <definedName name="_xlnm._FilterDatabase" localSheetId="1" hidden="1">Чис_двірн!$A$3:$M$207</definedName>
    <definedName name="Excel_BuiltIn_Print_Titles_62" localSheetId="5">ЗП!$21:$22</definedName>
    <definedName name="nn">[1]промивки!#REF!</definedName>
    <definedName name="ss">[1]внутрянка!#REF!</definedName>
    <definedName name="аа">[1]внутрянка!#REF!</definedName>
    <definedName name="_xlnm.Database">#REF!</definedName>
    <definedName name="вв">[1]внутрянка!#REF!</definedName>
    <definedName name="_xlnm.Print_Titles" localSheetId="0">' Ітог для ріш'!$3:$4</definedName>
    <definedName name="_xlnm.Print_Titles" localSheetId="5">ЗП!$21:$22</definedName>
    <definedName name="_xlnm.Print_Area" localSheetId="5">ЗП!$A$3:$S$105</definedName>
    <definedName name="_xlnm.Print_Area" localSheetId="2">Послуги!$A$1:$E$349</definedName>
    <definedName name="чч">#REF!</definedName>
  </definedNames>
  <calcPr calcId="145621"/>
</workbook>
</file>

<file path=xl/calcChain.xml><?xml version="1.0" encoding="utf-8"?>
<calcChain xmlns="http://schemas.openxmlformats.org/spreadsheetml/2006/main">
  <c r="I205" i="23" l="1"/>
  <c r="G6" i="23"/>
  <c r="L2" i="23"/>
  <c r="F25" i="23" s="1"/>
  <c r="G17" i="23" l="1"/>
  <c r="G21" i="23"/>
  <c r="G19" i="23"/>
  <c r="G24" i="23"/>
  <c r="G16" i="23"/>
  <c r="G18" i="23"/>
  <c r="G20" i="23"/>
  <c r="G22" i="23"/>
  <c r="G26" i="23"/>
  <c r="G23" i="23"/>
  <c r="G25" i="23"/>
  <c r="F26" i="23"/>
  <c r="F5" i="18" l="1"/>
  <c r="F26" i="42"/>
  <c r="C336" i="42" l="1"/>
  <c r="C335" i="42"/>
  <c r="C334" i="42"/>
  <c r="C333" i="42"/>
  <c r="C332" i="42"/>
  <c r="C331" i="42"/>
  <c r="C330" i="42"/>
  <c r="C329" i="42"/>
  <c r="C328" i="42"/>
  <c r="C327" i="42"/>
  <c r="C324" i="42"/>
  <c r="C321" i="42"/>
  <c r="D40" i="42"/>
  <c r="D39" i="42"/>
  <c r="D41" i="42" l="1"/>
  <c r="D42" i="42"/>
  <c r="E181" i="42"/>
  <c r="E170" i="42" l="1"/>
  <c r="D27" i="42"/>
  <c r="D13" i="42"/>
  <c r="F1" i="42"/>
  <c r="D179" i="42" l="1"/>
  <c r="D167" i="42"/>
  <c r="D85" i="42"/>
  <c r="D55" i="42"/>
  <c r="D36" i="42"/>
  <c r="D22" i="42"/>
  <c r="D8" i="42"/>
  <c r="D37" i="42"/>
  <c r="E79" i="42"/>
  <c r="E80" i="42" s="1"/>
  <c r="D23" i="42"/>
  <c r="A4" i="42"/>
  <c r="D67" i="42" l="1"/>
  <c r="E68" i="42" l="1"/>
  <c r="E69" i="42" s="1"/>
  <c r="D180" i="42" l="1"/>
  <c r="D168" i="42"/>
  <c r="E173" i="42" l="1"/>
  <c r="E174" i="42" s="1"/>
  <c r="E175" i="42" s="1"/>
  <c r="E183" i="42"/>
  <c r="E184" i="42" s="1"/>
  <c r="E182" i="42"/>
  <c r="G175" i="42" l="1"/>
  <c r="H175" i="42" s="1"/>
  <c r="C325" i="42"/>
  <c r="F7" i="23" l="1"/>
  <c r="F17" i="23"/>
  <c r="F13" i="23"/>
  <c r="F23" i="23"/>
  <c r="F10" i="23"/>
  <c r="F20" i="23"/>
  <c r="U12" i="28" l="1"/>
  <c r="D74" i="42" l="1"/>
  <c r="E81" i="42" s="1"/>
  <c r="D66" i="42"/>
  <c r="E70" i="42" s="1"/>
  <c r="C322" i="42" s="1"/>
  <c r="D38" i="42"/>
  <c r="E46" i="42" s="1"/>
  <c r="E50" i="42" s="1"/>
  <c r="E51" i="42" s="1"/>
  <c r="D169" i="42"/>
  <c r="G70" i="42" l="1"/>
  <c r="H70" i="42" s="1"/>
  <c r="G81" i="42"/>
  <c r="H81" i="42" s="1"/>
  <c r="C323" i="42"/>
  <c r="C320" i="42"/>
  <c r="G51" i="42" l="1"/>
  <c r="H51" i="42" s="1"/>
  <c r="E15" i="42" l="1"/>
  <c r="D24" i="42" l="1"/>
  <c r="D25" i="42" s="1"/>
  <c r="E26" i="42" s="1"/>
  <c r="E27" i="42" l="1"/>
  <c r="D9" i="42" l="1"/>
  <c r="D10" i="42" l="1"/>
  <c r="D11" i="42" s="1"/>
  <c r="E12" i="42" s="1"/>
  <c r="G14" i="23"/>
  <c r="G13" i="23"/>
  <c r="G12" i="23"/>
  <c r="G11" i="23"/>
  <c r="G10" i="23"/>
  <c r="G9" i="23"/>
  <c r="G7" i="23"/>
  <c r="G8" i="23"/>
  <c r="B207" i="23"/>
  <c r="E13" i="42" l="1"/>
  <c r="D25" i="23"/>
  <c r="D26" i="23"/>
  <c r="M6" i="23"/>
  <c r="K32" i="23"/>
  <c r="I32" i="23" s="1"/>
  <c r="K30" i="23"/>
  <c r="I30" i="23" s="1"/>
  <c r="K29" i="23"/>
  <c r="I29" i="23" s="1"/>
  <c r="K28" i="23"/>
  <c r="I28" i="23" s="1"/>
  <c r="K27" i="23"/>
  <c r="I27" i="23" s="1"/>
  <c r="K26" i="23"/>
  <c r="I26" i="23" s="1"/>
  <c r="J26" i="23" s="1"/>
  <c r="K25" i="23"/>
  <c r="I25" i="23" s="1"/>
  <c r="J25" i="23" s="1"/>
  <c r="K24" i="23"/>
  <c r="I24" i="23" s="1"/>
  <c r="K23" i="23"/>
  <c r="I23" i="23" s="1"/>
  <c r="K22" i="23"/>
  <c r="I22" i="23" s="1"/>
  <c r="K21" i="23"/>
  <c r="I21" i="23" s="1"/>
  <c r="K20" i="23"/>
  <c r="I20" i="23" s="1"/>
  <c r="K19" i="23"/>
  <c r="I19" i="23" s="1"/>
  <c r="K18" i="23"/>
  <c r="I18" i="23" s="1"/>
  <c r="K17" i="23"/>
  <c r="I17" i="23" s="1"/>
  <c r="K16" i="23"/>
  <c r="I16" i="23" s="1"/>
  <c r="K7" i="23"/>
  <c r="I7" i="23" s="1"/>
  <c r="K8" i="23"/>
  <c r="I8" i="23" s="1"/>
  <c r="K9" i="23"/>
  <c r="I9" i="23" s="1"/>
  <c r="K10" i="23"/>
  <c r="I10" i="23" s="1"/>
  <c r="K11" i="23"/>
  <c r="I11" i="23" s="1"/>
  <c r="K12" i="23"/>
  <c r="I12" i="23" s="1"/>
  <c r="K13" i="23"/>
  <c r="I13" i="23" s="1"/>
  <c r="K14" i="23"/>
  <c r="I14" i="23" s="1"/>
  <c r="K6" i="23"/>
  <c r="I6" i="23" s="1"/>
  <c r="K200" i="23"/>
  <c r="I200" i="23" s="1"/>
  <c r="K199" i="23"/>
  <c r="I199" i="23" s="1"/>
  <c r="K198" i="23"/>
  <c r="I198" i="23" s="1"/>
  <c r="K197" i="23"/>
  <c r="I197" i="23" s="1"/>
  <c r="K196" i="23"/>
  <c r="I196" i="23" s="1"/>
  <c r="K195" i="23"/>
  <c r="I195" i="23" s="1"/>
  <c r="K194" i="23"/>
  <c r="I194" i="23" s="1"/>
  <c r="K193" i="23"/>
  <c r="I193" i="23" s="1"/>
  <c r="K192" i="23"/>
  <c r="I192" i="23" s="1"/>
  <c r="K191" i="23"/>
  <c r="I191" i="23" s="1"/>
  <c r="K190" i="23"/>
  <c r="I190" i="23" s="1"/>
  <c r="K189" i="23"/>
  <c r="I189" i="23" s="1"/>
  <c r="K188" i="23"/>
  <c r="I188" i="23" s="1"/>
  <c r="K187" i="23"/>
  <c r="I187" i="23" s="1"/>
  <c r="K186" i="23"/>
  <c r="I186" i="23" s="1"/>
  <c r="K185" i="23"/>
  <c r="I185" i="23" s="1"/>
  <c r="K184" i="23"/>
  <c r="I184" i="23" s="1"/>
  <c r="K183" i="23"/>
  <c r="I183" i="23" s="1"/>
  <c r="K182" i="23"/>
  <c r="I182" i="23" s="1"/>
  <c r="K181" i="23"/>
  <c r="I181" i="23" s="1"/>
  <c r="K180" i="23"/>
  <c r="I180" i="23" s="1"/>
  <c r="K179" i="23"/>
  <c r="I179" i="23" s="1"/>
  <c r="K178" i="23"/>
  <c r="I178" i="23" s="1"/>
  <c r="K177" i="23"/>
  <c r="I177" i="23" s="1"/>
  <c r="K176" i="23"/>
  <c r="I176" i="23" s="1"/>
  <c r="K175" i="23"/>
  <c r="I175" i="23" s="1"/>
  <c r="K174" i="23"/>
  <c r="I174" i="23" s="1"/>
  <c r="K173" i="23"/>
  <c r="I173" i="23" s="1"/>
  <c r="K172" i="23"/>
  <c r="I172" i="23" s="1"/>
  <c r="K171" i="23"/>
  <c r="I171" i="23" s="1"/>
  <c r="K170" i="23"/>
  <c r="I170" i="23" s="1"/>
  <c r="K169" i="23"/>
  <c r="I169" i="23" s="1"/>
  <c r="K168" i="23"/>
  <c r="I168" i="23" s="1"/>
  <c r="K167" i="23"/>
  <c r="I167" i="23" s="1"/>
  <c r="K166" i="23"/>
  <c r="I166" i="23" s="1"/>
  <c r="K165" i="23"/>
  <c r="I165" i="23" s="1"/>
  <c r="K164" i="23"/>
  <c r="I164" i="23" s="1"/>
  <c r="K163" i="23"/>
  <c r="I163" i="23" s="1"/>
  <c r="K162" i="23"/>
  <c r="I162" i="23" s="1"/>
  <c r="K161" i="23"/>
  <c r="I161" i="23" s="1"/>
  <c r="K160" i="23"/>
  <c r="I160" i="23" s="1"/>
  <c r="K159" i="23"/>
  <c r="I159" i="23" s="1"/>
  <c r="K158" i="23"/>
  <c r="I158" i="23" s="1"/>
  <c r="K157" i="23"/>
  <c r="I157" i="23" s="1"/>
  <c r="K156" i="23"/>
  <c r="I156" i="23" s="1"/>
  <c r="K155" i="23"/>
  <c r="I155" i="23" s="1"/>
  <c r="K154" i="23"/>
  <c r="I154" i="23" s="1"/>
  <c r="K153" i="23"/>
  <c r="I153" i="23" s="1"/>
  <c r="K152" i="23"/>
  <c r="I152" i="23" s="1"/>
  <c r="K151" i="23"/>
  <c r="I151" i="23" s="1"/>
  <c r="K150" i="23"/>
  <c r="I150" i="23" s="1"/>
  <c r="K149" i="23"/>
  <c r="I149" i="23" s="1"/>
  <c r="K148" i="23"/>
  <c r="I148" i="23" s="1"/>
  <c r="K147" i="23"/>
  <c r="I147" i="23" s="1"/>
  <c r="K146" i="23"/>
  <c r="I146" i="23" s="1"/>
  <c r="K145" i="23"/>
  <c r="I145" i="23" s="1"/>
  <c r="K144" i="23"/>
  <c r="I144" i="23" s="1"/>
  <c r="K143" i="23"/>
  <c r="I143" i="23" s="1"/>
  <c r="K142" i="23"/>
  <c r="I142" i="23" s="1"/>
  <c r="K141" i="23"/>
  <c r="I141" i="23" s="1"/>
  <c r="K140" i="23"/>
  <c r="I140" i="23" s="1"/>
  <c r="K139" i="23"/>
  <c r="I139" i="23" s="1"/>
  <c r="K138" i="23"/>
  <c r="I138" i="23" s="1"/>
  <c r="K137" i="23"/>
  <c r="I137" i="23" s="1"/>
  <c r="K136" i="23"/>
  <c r="I136" i="23" s="1"/>
  <c r="K135" i="23"/>
  <c r="I135" i="23" s="1"/>
  <c r="K134" i="23"/>
  <c r="I134" i="23" s="1"/>
  <c r="K133" i="23"/>
  <c r="I133" i="23" s="1"/>
  <c r="K132" i="23"/>
  <c r="I132" i="23" s="1"/>
  <c r="K131" i="23"/>
  <c r="I131" i="23" s="1"/>
  <c r="K130" i="23"/>
  <c r="I130" i="23" s="1"/>
  <c r="K129" i="23"/>
  <c r="I129" i="23" s="1"/>
  <c r="K128" i="23"/>
  <c r="I128" i="23" s="1"/>
  <c r="K127" i="23"/>
  <c r="I127" i="23" s="1"/>
  <c r="K126" i="23"/>
  <c r="I126" i="23" s="1"/>
  <c r="K125" i="23"/>
  <c r="I125" i="23" s="1"/>
  <c r="K124" i="23"/>
  <c r="I124" i="23" s="1"/>
  <c r="K123" i="23"/>
  <c r="I123" i="23" s="1"/>
  <c r="K122" i="23"/>
  <c r="I122" i="23" s="1"/>
  <c r="K121" i="23"/>
  <c r="I121" i="23" s="1"/>
  <c r="K120" i="23"/>
  <c r="I120" i="23" s="1"/>
  <c r="K119" i="23"/>
  <c r="I119" i="23" s="1"/>
  <c r="K118" i="23"/>
  <c r="I118" i="23" s="1"/>
  <c r="K117" i="23"/>
  <c r="I117" i="23" s="1"/>
  <c r="K116" i="23"/>
  <c r="I116" i="23" s="1"/>
  <c r="K115" i="23"/>
  <c r="I115" i="23" s="1"/>
  <c r="K114" i="23"/>
  <c r="I114" i="23" s="1"/>
  <c r="K113" i="23"/>
  <c r="I113" i="23" s="1"/>
  <c r="K112" i="23"/>
  <c r="I112" i="23" s="1"/>
  <c r="K111" i="23"/>
  <c r="I111" i="23" s="1"/>
  <c r="K110" i="23"/>
  <c r="I110" i="23" s="1"/>
  <c r="K109" i="23"/>
  <c r="I109" i="23" s="1"/>
  <c r="K108" i="23"/>
  <c r="I108" i="23" s="1"/>
  <c r="K107" i="23"/>
  <c r="I107" i="23" s="1"/>
  <c r="K106" i="23"/>
  <c r="I106" i="23" s="1"/>
  <c r="K105" i="23"/>
  <c r="I105" i="23" s="1"/>
  <c r="K104" i="23"/>
  <c r="I104" i="23" s="1"/>
  <c r="K103" i="23"/>
  <c r="I103" i="23" s="1"/>
  <c r="K102" i="23"/>
  <c r="I102" i="23" s="1"/>
  <c r="K101" i="23"/>
  <c r="I101" i="23" s="1"/>
  <c r="K100" i="23"/>
  <c r="I100" i="23" s="1"/>
  <c r="K99" i="23"/>
  <c r="I99" i="23" s="1"/>
  <c r="K98" i="23"/>
  <c r="I98" i="23" s="1"/>
  <c r="K97" i="23"/>
  <c r="I97" i="23" s="1"/>
  <c r="K96" i="23"/>
  <c r="I96" i="23" s="1"/>
  <c r="K94" i="23"/>
  <c r="I94" i="23" s="1"/>
  <c r="K93" i="23"/>
  <c r="I93" i="23" s="1"/>
  <c r="K92" i="23"/>
  <c r="I92" i="23" s="1"/>
  <c r="K91" i="23"/>
  <c r="I91" i="23" s="1"/>
  <c r="K90" i="23"/>
  <c r="I90" i="23" s="1"/>
  <c r="K89" i="23"/>
  <c r="I89" i="23" s="1"/>
  <c r="K88" i="23"/>
  <c r="I88" i="23" s="1"/>
  <c r="K87" i="23"/>
  <c r="I87" i="23" s="1"/>
  <c r="K86" i="23"/>
  <c r="I86" i="23" s="1"/>
  <c r="K85" i="23"/>
  <c r="I85" i="23" s="1"/>
  <c r="K84" i="23"/>
  <c r="I84" i="23" s="1"/>
  <c r="K83" i="23"/>
  <c r="I83" i="23" s="1"/>
  <c r="K82" i="23"/>
  <c r="I82" i="23" s="1"/>
  <c r="K81" i="23"/>
  <c r="I81" i="23" s="1"/>
  <c r="K80" i="23"/>
  <c r="I80" i="23" s="1"/>
  <c r="K79" i="23"/>
  <c r="I79" i="23" s="1"/>
  <c r="K78" i="23"/>
  <c r="I78" i="23" s="1"/>
  <c r="K77" i="23"/>
  <c r="I77" i="23" s="1"/>
  <c r="K76" i="23"/>
  <c r="I76" i="23" s="1"/>
  <c r="K75" i="23"/>
  <c r="I75" i="23" s="1"/>
  <c r="K74" i="23"/>
  <c r="I74" i="23" s="1"/>
  <c r="K73" i="23"/>
  <c r="I73" i="23" s="1"/>
  <c r="K72" i="23"/>
  <c r="I72" i="23" s="1"/>
  <c r="K71" i="23"/>
  <c r="I71" i="23" s="1"/>
  <c r="K70" i="23"/>
  <c r="I70" i="23" s="1"/>
  <c r="K69" i="23"/>
  <c r="I69" i="23" s="1"/>
  <c r="K68" i="23"/>
  <c r="I68" i="23" s="1"/>
  <c r="K67" i="23"/>
  <c r="I67" i="23" s="1"/>
  <c r="K66" i="23"/>
  <c r="I66" i="23" s="1"/>
  <c r="K65" i="23"/>
  <c r="I65" i="23" s="1"/>
  <c r="K64" i="23"/>
  <c r="I64" i="23" s="1"/>
  <c r="K61" i="23"/>
  <c r="I61" i="23" s="1"/>
  <c r="K60" i="23"/>
  <c r="I60" i="23" s="1"/>
  <c r="K59" i="23"/>
  <c r="I59" i="23" s="1"/>
  <c r="K58" i="23"/>
  <c r="I58" i="23" s="1"/>
  <c r="K57" i="23"/>
  <c r="I57" i="23" s="1"/>
  <c r="K56" i="23"/>
  <c r="I56" i="23" s="1"/>
  <c r="K55" i="23"/>
  <c r="I55" i="23" s="1"/>
  <c r="K54" i="23"/>
  <c r="I54" i="23" s="1"/>
  <c r="K53" i="23"/>
  <c r="I53" i="23" s="1"/>
  <c r="K52" i="23"/>
  <c r="I52" i="23" s="1"/>
  <c r="K51" i="23"/>
  <c r="I51" i="23" s="1"/>
  <c r="K50" i="23"/>
  <c r="I50" i="23" s="1"/>
  <c r="K49" i="23"/>
  <c r="I49" i="23" s="1"/>
  <c r="K48" i="23"/>
  <c r="I48" i="23" s="1"/>
  <c r="K47" i="23"/>
  <c r="I47" i="23" s="1"/>
  <c r="K46" i="23"/>
  <c r="I46" i="23" s="1"/>
  <c r="K45" i="23"/>
  <c r="I45" i="23" s="1"/>
  <c r="K44" i="23"/>
  <c r="I44" i="23" s="1"/>
  <c r="K43" i="23"/>
  <c r="I43" i="23" s="1"/>
  <c r="K42" i="23"/>
  <c r="I42" i="23" s="1"/>
  <c r="K41" i="23"/>
  <c r="I41" i="23" s="1"/>
  <c r="K40" i="23"/>
  <c r="I40" i="23" s="1"/>
  <c r="K39" i="23"/>
  <c r="I39" i="23" s="1"/>
  <c r="K38" i="23"/>
  <c r="I38" i="23" s="1"/>
  <c r="K37" i="23"/>
  <c r="I37" i="23" s="1"/>
  <c r="K36" i="23"/>
  <c r="I36" i="23" s="1"/>
  <c r="K35" i="23"/>
  <c r="I35" i="23" s="1"/>
  <c r="K34" i="23"/>
  <c r="I34" i="23" s="1"/>
  <c r="K33" i="23"/>
  <c r="I33" i="23" s="1"/>
  <c r="M9" i="23"/>
  <c r="M10" i="23"/>
  <c r="M11" i="23"/>
  <c r="M12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53" i="23"/>
  <c r="M154" i="23"/>
  <c r="M155" i="23"/>
  <c r="M156" i="23"/>
  <c r="M157" i="23"/>
  <c r="M158" i="23"/>
  <c r="M159" i="23"/>
  <c r="M160" i="23"/>
  <c r="M161" i="23"/>
  <c r="M162" i="23"/>
  <c r="M163" i="23"/>
  <c r="M164" i="23"/>
  <c r="M165" i="23"/>
  <c r="M166" i="23"/>
  <c r="M167" i="23"/>
  <c r="M168" i="23"/>
  <c r="M169" i="23"/>
  <c r="M170" i="23"/>
  <c r="M171" i="23"/>
  <c r="M172" i="23"/>
  <c r="M173" i="23"/>
  <c r="M174" i="23"/>
  <c r="M175" i="23"/>
  <c r="M176" i="23"/>
  <c r="M177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M190" i="23"/>
  <c r="M191" i="23"/>
  <c r="M192" i="23"/>
  <c r="M193" i="23"/>
  <c r="M194" i="23"/>
  <c r="M195" i="23"/>
  <c r="M196" i="23"/>
  <c r="M197" i="23"/>
  <c r="M198" i="23"/>
  <c r="M199" i="23"/>
  <c r="M200" i="23"/>
  <c r="D173" i="23"/>
  <c r="E173" i="23"/>
  <c r="D174" i="23"/>
  <c r="E174" i="23"/>
  <c r="D175" i="23"/>
  <c r="E175" i="23"/>
  <c r="D176" i="23"/>
  <c r="E176" i="23"/>
  <c r="D177" i="23"/>
  <c r="E177" i="23"/>
  <c r="D178" i="23"/>
  <c r="E178" i="23"/>
  <c r="D179" i="23"/>
  <c r="E179" i="23"/>
  <c r="D180" i="23"/>
  <c r="E180" i="23"/>
  <c r="D181" i="23"/>
  <c r="E181" i="23"/>
  <c r="D182" i="23"/>
  <c r="E182" i="23"/>
  <c r="D183" i="23"/>
  <c r="E183" i="23"/>
  <c r="D184" i="23"/>
  <c r="E184" i="23"/>
  <c r="D185" i="23"/>
  <c r="E185" i="23"/>
  <c r="D186" i="23"/>
  <c r="E186" i="23"/>
  <c r="D187" i="23"/>
  <c r="E187" i="23"/>
  <c r="D188" i="23"/>
  <c r="E188" i="23"/>
  <c r="D189" i="23"/>
  <c r="E189" i="23"/>
  <c r="D190" i="23"/>
  <c r="E190" i="23"/>
  <c r="D191" i="23"/>
  <c r="E191" i="23"/>
  <c r="D192" i="23"/>
  <c r="E192" i="23"/>
  <c r="D193" i="23"/>
  <c r="E193" i="23"/>
  <c r="D194" i="23"/>
  <c r="E194" i="23"/>
  <c r="D195" i="23"/>
  <c r="E195" i="23"/>
  <c r="D196" i="23"/>
  <c r="E196" i="23"/>
  <c r="D197" i="23"/>
  <c r="E197" i="23"/>
  <c r="D198" i="23"/>
  <c r="E198" i="23"/>
  <c r="D199" i="23"/>
  <c r="E199" i="23"/>
  <c r="D200" i="23"/>
  <c r="E200" i="23"/>
  <c r="D172" i="23"/>
  <c r="E172" i="23"/>
  <c r="D147" i="23"/>
  <c r="E147" i="23"/>
  <c r="D148" i="23"/>
  <c r="E148" i="23"/>
  <c r="D149" i="23"/>
  <c r="E149" i="23"/>
  <c r="D150" i="23"/>
  <c r="E150" i="23"/>
  <c r="D151" i="23"/>
  <c r="E151" i="23"/>
  <c r="D152" i="23"/>
  <c r="E152" i="23"/>
  <c r="D153" i="23"/>
  <c r="E153" i="23"/>
  <c r="D154" i="23"/>
  <c r="E154" i="23"/>
  <c r="D155" i="23"/>
  <c r="E155" i="23"/>
  <c r="D156" i="23"/>
  <c r="E156" i="23"/>
  <c r="D157" i="23"/>
  <c r="E157" i="23"/>
  <c r="D158" i="23"/>
  <c r="E158" i="23"/>
  <c r="D159" i="23"/>
  <c r="E159" i="23"/>
  <c r="D160" i="23"/>
  <c r="E160" i="23"/>
  <c r="D161" i="23"/>
  <c r="E161" i="23"/>
  <c r="D162" i="23"/>
  <c r="E162" i="23"/>
  <c r="D163" i="23"/>
  <c r="E163" i="23"/>
  <c r="D164" i="23"/>
  <c r="E164" i="23"/>
  <c r="D165" i="23"/>
  <c r="E165" i="23"/>
  <c r="D166" i="23"/>
  <c r="E166" i="23"/>
  <c r="D167" i="23"/>
  <c r="E167" i="23"/>
  <c r="D168" i="23"/>
  <c r="E168" i="23"/>
  <c r="D169" i="23"/>
  <c r="E169" i="23"/>
  <c r="D170" i="23"/>
  <c r="E170" i="23"/>
  <c r="D171" i="23"/>
  <c r="E171" i="23"/>
  <c r="D145" i="23"/>
  <c r="E145" i="23"/>
  <c r="D146" i="23"/>
  <c r="E146" i="23"/>
  <c r="D141" i="23"/>
  <c r="E141" i="23"/>
  <c r="D142" i="23"/>
  <c r="E142" i="23"/>
  <c r="D143" i="23"/>
  <c r="E143" i="23"/>
  <c r="D144" i="23"/>
  <c r="E144" i="23"/>
  <c r="D137" i="23"/>
  <c r="E137" i="23"/>
  <c r="D138" i="23"/>
  <c r="E138" i="23"/>
  <c r="D139" i="23"/>
  <c r="E139" i="23"/>
  <c r="D140" i="23"/>
  <c r="E140" i="23"/>
  <c r="D133" i="23"/>
  <c r="E133" i="23"/>
  <c r="D134" i="23"/>
  <c r="E134" i="23"/>
  <c r="D135" i="23"/>
  <c r="E135" i="23"/>
  <c r="D136" i="23"/>
  <c r="E136" i="23"/>
  <c r="D131" i="23"/>
  <c r="E131" i="23"/>
  <c r="D132" i="23"/>
  <c r="E132" i="23"/>
  <c r="D130" i="23"/>
  <c r="E130" i="23"/>
  <c r="D128" i="23"/>
  <c r="E128" i="23"/>
  <c r="D129" i="23"/>
  <c r="E129" i="23"/>
  <c r="D125" i="23"/>
  <c r="E125" i="23"/>
  <c r="D126" i="23"/>
  <c r="E126" i="23"/>
  <c r="D127" i="23"/>
  <c r="E127" i="23"/>
  <c r="D122" i="23"/>
  <c r="E122" i="23"/>
  <c r="D123" i="23"/>
  <c r="E123" i="23"/>
  <c r="D124" i="23"/>
  <c r="E124" i="23"/>
  <c r="D119" i="23"/>
  <c r="E119" i="23"/>
  <c r="D120" i="23"/>
  <c r="E120" i="23"/>
  <c r="D121" i="23"/>
  <c r="E121" i="23"/>
  <c r="D118" i="23"/>
  <c r="E118" i="23"/>
  <c r="D117" i="23"/>
  <c r="E117" i="23"/>
  <c r="D115" i="23"/>
  <c r="E115" i="23"/>
  <c r="D116" i="23"/>
  <c r="E116" i="23"/>
  <c r="D114" i="23"/>
  <c r="E114" i="23"/>
  <c r="C111" i="23"/>
  <c r="D111" i="23"/>
  <c r="E111" i="23"/>
  <c r="C112" i="23"/>
  <c r="D112" i="23"/>
  <c r="E112" i="23"/>
  <c r="C113" i="23"/>
  <c r="D113" i="23"/>
  <c r="E113" i="23"/>
  <c r="C108" i="23"/>
  <c r="D108" i="23"/>
  <c r="E108" i="23"/>
  <c r="C109" i="23"/>
  <c r="D109" i="23"/>
  <c r="E109" i="23"/>
  <c r="C110" i="23"/>
  <c r="D110" i="23"/>
  <c r="E110" i="23"/>
  <c r="C107" i="23"/>
  <c r="C106" i="23"/>
  <c r="C105" i="23"/>
  <c r="D105" i="23"/>
  <c r="E105" i="23"/>
  <c r="D106" i="23"/>
  <c r="E106" i="23"/>
  <c r="D107" i="23"/>
  <c r="E107" i="23"/>
  <c r="D104" i="23"/>
  <c r="E104" i="23"/>
  <c r="D103" i="23"/>
  <c r="E103" i="23"/>
  <c r="D102" i="23"/>
  <c r="E102" i="23"/>
  <c r="D101" i="23"/>
  <c r="E101" i="23"/>
  <c r="D100" i="23"/>
  <c r="E100" i="23"/>
  <c r="D99" i="23"/>
  <c r="E99" i="23"/>
  <c r="D98" i="23"/>
  <c r="E98" i="23"/>
  <c r="D97" i="23"/>
  <c r="E97" i="23"/>
  <c r="E96" i="23"/>
  <c r="D96" i="23"/>
  <c r="E94" i="23"/>
  <c r="D94" i="23"/>
  <c r="E93" i="23"/>
  <c r="D93" i="23"/>
  <c r="E92" i="23"/>
  <c r="D92" i="23"/>
  <c r="D89" i="23"/>
  <c r="E89" i="23"/>
  <c r="D90" i="23"/>
  <c r="E90" i="23"/>
  <c r="D91" i="23"/>
  <c r="E91" i="23"/>
  <c r="D86" i="23"/>
  <c r="E86" i="23"/>
  <c r="D87" i="23"/>
  <c r="E87" i="23"/>
  <c r="D88" i="23"/>
  <c r="E88" i="23"/>
  <c r="D85" i="23"/>
  <c r="E85" i="23"/>
  <c r="D82" i="23"/>
  <c r="E82" i="23"/>
  <c r="D83" i="23"/>
  <c r="E83" i="23"/>
  <c r="D84" i="23"/>
  <c r="E84" i="23"/>
  <c r="C79" i="23"/>
  <c r="D79" i="23"/>
  <c r="E79" i="23"/>
  <c r="C80" i="23"/>
  <c r="D80" i="23"/>
  <c r="E80" i="23"/>
  <c r="C81" i="23"/>
  <c r="D81" i="23"/>
  <c r="E81" i="23"/>
  <c r="C76" i="23"/>
  <c r="D76" i="23"/>
  <c r="E76" i="23"/>
  <c r="C77" i="23"/>
  <c r="D77" i="23"/>
  <c r="E77" i="23"/>
  <c r="C78" i="23"/>
  <c r="D78" i="23"/>
  <c r="E78" i="23"/>
  <c r="C73" i="23"/>
  <c r="D73" i="23"/>
  <c r="E73" i="23"/>
  <c r="C74" i="23"/>
  <c r="D74" i="23"/>
  <c r="E74" i="23"/>
  <c r="C75" i="23"/>
  <c r="D75" i="23"/>
  <c r="E75" i="23"/>
  <c r="C65" i="23"/>
  <c r="D65" i="23"/>
  <c r="E65" i="23"/>
  <c r="C66" i="23"/>
  <c r="D66" i="23"/>
  <c r="E66" i="23"/>
  <c r="C67" i="23"/>
  <c r="D67" i="23"/>
  <c r="E67" i="23"/>
  <c r="C68" i="23"/>
  <c r="D68" i="23"/>
  <c r="E68" i="23"/>
  <c r="C69" i="23"/>
  <c r="D69" i="23"/>
  <c r="E69" i="23"/>
  <c r="C70" i="23"/>
  <c r="D70" i="23"/>
  <c r="E70" i="23"/>
  <c r="C71" i="23"/>
  <c r="D71" i="23"/>
  <c r="E71" i="23"/>
  <c r="C72" i="23"/>
  <c r="D72" i="23"/>
  <c r="E72" i="23"/>
  <c r="E64" i="23"/>
  <c r="D64" i="23"/>
  <c r="C64" i="23"/>
  <c r="D59" i="23"/>
  <c r="E59" i="23"/>
  <c r="D60" i="23"/>
  <c r="E60" i="23"/>
  <c r="D61" i="23"/>
  <c r="E61" i="23"/>
  <c r="C61" i="23"/>
  <c r="C60" i="23"/>
  <c r="C59" i="23"/>
  <c r="D57" i="23"/>
  <c r="E57" i="23"/>
  <c r="D58" i="23"/>
  <c r="E58" i="23"/>
  <c r="D55" i="23"/>
  <c r="E55" i="23"/>
  <c r="D56" i="23"/>
  <c r="E56" i="23"/>
  <c r="D51" i="23"/>
  <c r="E51" i="23"/>
  <c r="D52" i="23"/>
  <c r="E52" i="23"/>
  <c r="D53" i="23"/>
  <c r="E53" i="23"/>
  <c r="D54" i="23"/>
  <c r="E54" i="23"/>
  <c r="D50" i="23"/>
  <c r="E50" i="23"/>
  <c r="D49" i="23"/>
  <c r="E49" i="23"/>
  <c r="D48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0" i="23"/>
  <c r="E29" i="23"/>
  <c r="E28" i="23"/>
  <c r="E27" i="23"/>
  <c r="E24" i="23"/>
  <c r="E23" i="23"/>
  <c r="E22" i="23"/>
  <c r="E21" i="23"/>
  <c r="E20" i="23"/>
  <c r="E19" i="23"/>
  <c r="E18" i="23"/>
  <c r="E17" i="23"/>
  <c r="E16" i="23"/>
  <c r="E11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29" i="23"/>
  <c r="C28" i="23"/>
  <c r="C27" i="23"/>
  <c r="C24" i="23"/>
  <c r="C23" i="23"/>
  <c r="C22" i="23"/>
  <c r="C21" i="23"/>
  <c r="C20" i="23"/>
  <c r="C19" i="23"/>
  <c r="C18" i="23"/>
  <c r="C17" i="23"/>
  <c r="C16" i="23"/>
  <c r="C11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0" i="23"/>
  <c r="D29" i="23"/>
  <c r="D28" i="23"/>
  <c r="D27" i="23"/>
  <c r="D24" i="23"/>
  <c r="D23" i="23"/>
  <c r="D22" i="23"/>
  <c r="D21" i="23"/>
  <c r="D20" i="23"/>
  <c r="D19" i="23"/>
  <c r="D18" i="23"/>
  <c r="D17" i="23"/>
  <c r="D16" i="23"/>
  <c r="D11" i="23"/>
  <c r="M13" i="23"/>
  <c r="M14" i="23"/>
  <c r="M7" i="23"/>
  <c r="M8" i="23"/>
  <c r="E14" i="23"/>
  <c r="E13" i="23"/>
  <c r="E12" i="23"/>
  <c r="C14" i="23"/>
  <c r="C13" i="23"/>
  <c r="C12" i="23"/>
  <c r="D14" i="23"/>
  <c r="D13" i="23"/>
  <c r="D12" i="23"/>
  <c r="E10" i="23"/>
  <c r="J10" i="23" s="1"/>
  <c r="E9" i="23"/>
  <c r="E7" i="23"/>
  <c r="E8" i="23"/>
  <c r="E6" i="23"/>
  <c r="C10" i="23"/>
  <c r="C9" i="23"/>
  <c r="C7" i="23"/>
  <c r="C8" i="23"/>
  <c r="C6" i="23"/>
  <c r="D10" i="23"/>
  <c r="D9" i="23"/>
  <c r="D7" i="23"/>
  <c r="D8" i="23"/>
  <c r="D6" i="23"/>
  <c r="J9" i="23" l="1"/>
  <c r="J17" i="23"/>
  <c r="J13" i="23"/>
  <c r="J7" i="23"/>
  <c r="J20" i="23"/>
  <c r="J6" i="23"/>
  <c r="J11" i="23"/>
  <c r="J23" i="23"/>
  <c r="J8" i="23"/>
  <c r="J12" i="23"/>
  <c r="J14" i="23"/>
  <c r="J202" i="23" l="1"/>
  <c r="J205" i="23" s="1"/>
  <c r="E29" i="42" l="1"/>
  <c r="AE168" i="19" l="1"/>
  <c r="AH17" i="19"/>
  <c r="AH19" i="19"/>
  <c r="AH20" i="19"/>
  <c r="AH21" i="19"/>
  <c r="AH22" i="19"/>
  <c r="AH23" i="19"/>
  <c r="AH26" i="19"/>
  <c r="AH27" i="19"/>
  <c r="AH28" i="19"/>
  <c r="AH31" i="19"/>
  <c r="AH32" i="19"/>
  <c r="AH33" i="19"/>
  <c r="AH36" i="19"/>
  <c r="AH37" i="19"/>
  <c r="AH40" i="19"/>
  <c r="AH41" i="19"/>
  <c r="AH42" i="19"/>
  <c r="AH45" i="19"/>
  <c r="AH48" i="19"/>
  <c r="AH49" i="19"/>
  <c r="AH52" i="19"/>
  <c r="AH53" i="19"/>
  <c r="AH54" i="19"/>
  <c r="AH55" i="19"/>
  <c r="AH58" i="19"/>
  <c r="AH59" i="19"/>
  <c r="AH60" i="19"/>
  <c r="AH64" i="19"/>
  <c r="AH65" i="19"/>
  <c r="AH66" i="19"/>
  <c r="AH69" i="19"/>
  <c r="AH70" i="19"/>
  <c r="AH73" i="19"/>
  <c r="AH74" i="19"/>
  <c r="AH75" i="19"/>
  <c r="AH82" i="19"/>
  <c r="AH83" i="19"/>
  <c r="AH86" i="19"/>
  <c r="AH90" i="19"/>
  <c r="AH91" i="19"/>
  <c r="AH92" i="19"/>
  <c r="AH95" i="19"/>
  <c r="AH97" i="19"/>
  <c r="AH98" i="19"/>
  <c r="AH101" i="19"/>
  <c r="AH102" i="19"/>
  <c r="AH103" i="19"/>
  <c r="AH104" i="19"/>
  <c r="AH107" i="19"/>
  <c r="AH108" i="19"/>
  <c r="AH109" i="19"/>
  <c r="AH110" i="19"/>
  <c r="AS110" i="19" s="1"/>
  <c r="AH113" i="19"/>
  <c r="AH114" i="19"/>
  <c r="AH115" i="19"/>
  <c r="AH118" i="19"/>
  <c r="AH120" i="19"/>
  <c r="AH124" i="19"/>
  <c r="AH127" i="19"/>
  <c r="AH128" i="19"/>
  <c r="AH131" i="19"/>
  <c r="AH133" i="19"/>
  <c r="AH134" i="19"/>
  <c r="AH135" i="19"/>
  <c r="AH138" i="19"/>
  <c r="AH139" i="19"/>
  <c r="AH140" i="19"/>
  <c r="AH143" i="19"/>
  <c r="AH145" i="19"/>
  <c r="AH148" i="19"/>
  <c r="AH150" i="19"/>
  <c r="AH153" i="19"/>
  <c r="AH155" i="19"/>
  <c r="AH158" i="19"/>
  <c r="AH159" i="19"/>
  <c r="AH160" i="19"/>
  <c r="AH163" i="19"/>
  <c r="AH165" i="19"/>
  <c r="AH168" i="19"/>
  <c r="AH169" i="19"/>
  <c r="AH172" i="19"/>
  <c r="AH176" i="19"/>
  <c r="AH177" i="19"/>
  <c r="AH178" i="19"/>
  <c r="AH181" i="19"/>
  <c r="AH182" i="19"/>
  <c r="AH185" i="19"/>
  <c r="AH188" i="19"/>
  <c r="AH189" i="19"/>
  <c r="AH190" i="19"/>
  <c r="AH193" i="19"/>
  <c r="AH194" i="19"/>
  <c r="AH195" i="19"/>
  <c r="AH196" i="19"/>
  <c r="AH199" i="19"/>
  <c r="AH201" i="19"/>
  <c r="AH204" i="19"/>
  <c r="AH205" i="19"/>
  <c r="AH208" i="19"/>
  <c r="AH212" i="19"/>
  <c r="AH214" i="19"/>
  <c r="AH215" i="19"/>
  <c r="AH216" i="19"/>
  <c r="AH219" i="19"/>
  <c r="AH221" i="19"/>
  <c r="AH222" i="19"/>
  <c r="AH225" i="19"/>
  <c r="AH226" i="19"/>
  <c r="AH227" i="19"/>
  <c r="AH230" i="19"/>
  <c r="AH232" i="19"/>
  <c r="AH233" i="19"/>
  <c r="AH234" i="19"/>
  <c r="AH235" i="19"/>
  <c r="AH238" i="19"/>
  <c r="AH239" i="19"/>
  <c r="AH240" i="19"/>
  <c r="AH241" i="19"/>
  <c r="AU243" i="19"/>
  <c r="AT243" i="19"/>
  <c r="AR243" i="19"/>
  <c r="AQ243" i="19"/>
  <c r="AN242" i="19"/>
  <c r="AM242" i="19"/>
  <c r="AU242" i="19" s="1"/>
  <c r="K242" i="19"/>
  <c r="F242" i="19"/>
  <c r="E242" i="19"/>
  <c r="M234" i="19" s="1"/>
  <c r="AN241" i="19"/>
  <c r="AM241" i="19"/>
  <c r="AL241" i="19"/>
  <c r="AG241" i="19"/>
  <c r="AF241" i="19"/>
  <c r="AE241" i="19"/>
  <c r="AD241" i="19"/>
  <c r="M241" i="19"/>
  <c r="J241" i="19"/>
  <c r="I241" i="19"/>
  <c r="H241" i="19"/>
  <c r="G241" i="19"/>
  <c r="AN240" i="19"/>
  <c r="AM240" i="19"/>
  <c r="AF240" i="19"/>
  <c r="AE240" i="19"/>
  <c r="V240" i="19"/>
  <c r="T240" i="19"/>
  <c r="S240" i="19" s="1"/>
  <c r="J240" i="19"/>
  <c r="I240" i="19"/>
  <c r="H240" i="19"/>
  <c r="G240" i="19"/>
  <c r="AN239" i="19"/>
  <c r="AM239" i="19"/>
  <c r="AL239" i="19"/>
  <c r="AG239" i="19"/>
  <c r="AF239" i="19"/>
  <c r="AE239" i="19"/>
  <c r="AD239" i="19"/>
  <c r="U239" i="19"/>
  <c r="N239" i="19"/>
  <c r="O239" i="19" s="1"/>
  <c r="P239" i="19" s="1"/>
  <c r="M239" i="19"/>
  <c r="H239" i="19"/>
  <c r="G239" i="19"/>
  <c r="AN238" i="19"/>
  <c r="AM238" i="19"/>
  <c r="AL238" i="19"/>
  <c r="AG238" i="19"/>
  <c r="AF238" i="19"/>
  <c r="AE238" i="19"/>
  <c r="AD238" i="19"/>
  <c r="U238" i="19"/>
  <c r="N238" i="19"/>
  <c r="O238" i="19" s="1"/>
  <c r="P238" i="19" s="1"/>
  <c r="M238" i="19"/>
  <c r="H238" i="19"/>
  <c r="G238" i="19"/>
  <c r="AU237" i="19"/>
  <c r="AT237" i="19"/>
  <c r="AN236" i="19"/>
  <c r="AM236" i="19"/>
  <c r="AU236" i="19" s="1"/>
  <c r="J236" i="19"/>
  <c r="F236" i="19"/>
  <c r="E236" i="19"/>
  <c r="AN235" i="19"/>
  <c r="AM235" i="19"/>
  <c r="AF235" i="19"/>
  <c r="AE235" i="19"/>
  <c r="AD235" i="19"/>
  <c r="U235" i="19"/>
  <c r="N235" i="19"/>
  <c r="O235" i="19" s="1"/>
  <c r="P235" i="19" s="1"/>
  <c r="M235" i="19"/>
  <c r="H235" i="19"/>
  <c r="G235" i="19"/>
  <c r="AN234" i="19"/>
  <c r="AM234" i="19"/>
  <c r="AF234" i="19"/>
  <c r="AE234" i="19"/>
  <c r="AD234" i="19"/>
  <c r="I234" i="19"/>
  <c r="I236" i="19" s="1"/>
  <c r="H234" i="19"/>
  <c r="G234" i="19"/>
  <c r="AN233" i="19"/>
  <c r="AM233" i="19"/>
  <c r="AF233" i="19"/>
  <c r="AE233" i="19"/>
  <c r="AD233" i="19"/>
  <c r="N233" i="19"/>
  <c r="O233" i="19" s="1"/>
  <c r="M233" i="19"/>
  <c r="H233" i="19"/>
  <c r="G233" i="19"/>
  <c r="AN232" i="19"/>
  <c r="AM232" i="19"/>
  <c r="AF232" i="19"/>
  <c r="AE232" i="19"/>
  <c r="AD232" i="19"/>
  <c r="N232" i="19"/>
  <c r="O232" i="19" s="1"/>
  <c r="M232" i="19"/>
  <c r="H232" i="19"/>
  <c r="G232" i="19"/>
  <c r="AU231" i="19"/>
  <c r="AT231" i="19"/>
  <c r="N231" i="19"/>
  <c r="O231" i="19" s="1"/>
  <c r="P231" i="19" s="1"/>
  <c r="M231" i="19"/>
  <c r="AN230" i="19"/>
  <c r="AM230" i="19"/>
  <c r="AF230" i="19"/>
  <c r="AE230" i="19"/>
  <c r="AD230" i="19"/>
  <c r="N230" i="19"/>
  <c r="O230" i="19" s="1"/>
  <c r="M230" i="19"/>
  <c r="H230" i="19"/>
  <c r="G230" i="19"/>
  <c r="AU229" i="19"/>
  <c r="AT229" i="19"/>
  <c r="AN228" i="19"/>
  <c r="AM228" i="19"/>
  <c r="AU228" i="19" s="1"/>
  <c r="N228" i="19"/>
  <c r="O228" i="19" s="1"/>
  <c r="P228" i="19" s="1"/>
  <c r="M228" i="19"/>
  <c r="K228" i="19"/>
  <c r="F228" i="19"/>
  <c r="E228" i="19"/>
  <c r="AN227" i="19"/>
  <c r="AM227" i="19"/>
  <c r="AF227" i="19"/>
  <c r="AE227" i="19"/>
  <c r="AD227" i="19"/>
  <c r="N227" i="19"/>
  <c r="O227" i="19" s="1"/>
  <c r="M227" i="19"/>
  <c r="H227" i="19"/>
  <c r="G227" i="19"/>
  <c r="AN226" i="19"/>
  <c r="AE226" i="19"/>
  <c r="U226" i="19"/>
  <c r="N226" i="19"/>
  <c r="O226" i="19" s="1"/>
  <c r="P226" i="19" s="1"/>
  <c r="M226" i="19"/>
  <c r="H226" i="19"/>
  <c r="G226" i="19"/>
  <c r="AN225" i="19"/>
  <c r="AE225" i="19"/>
  <c r="M225" i="19"/>
  <c r="H225" i="19"/>
  <c r="G225" i="19"/>
  <c r="AU224" i="19"/>
  <c r="AT224" i="19"/>
  <c r="M224" i="19"/>
  <c r="AN223" i="19"/>
  <c r="AM223" i="19"/>
  <c r="AU223" i="19" s="1"/>
  <c r="N223" i="19"/>
  <c r="O223" i="19" s="1"/>
  <c r="P223" i="19" s="1"/>
  <c r="M223" i="19"/>
  <c r="K223" i="19"/>
  <c r="F223" i="19"/>
  <c r="E223" i="19"/>
  <c r="N216" i="19" s="1"/>
  <c r="O216" i="19" s="1"/>
  <c r="P216" i="19" s="1"/>
  <c r="AF222" i="19"/>
  <c r="AE222" i="19"/>
  <c r="AD222" i="19"/>
  <c r="AB222" i="19"/>
  <c r="AN222" i="19" s="1"/>
  <c r="U222" i="19"/>
  <c r="H222" i="19"/>
  <c r="G222" i="19"/>
  <c r="AL221" i="19"/>
  <c r="AG221" i="19"/>
  <c r="AF221" i="19"/>
  <c r="AE221" i="19"/>
  <c r="AD221" i="19"/>
  <c r="AB221" i="19"/>
  <c r="AN221" i="19" s="1"/>
  <c r="J221" i="19"/>
  <c r="J223" i="19" s="1"/>
  <c r="I221" i="19"/>
  <c r="I223" i="19" s="1"/>
  <c r="H221" i="19"/>
  <c r="G221" i="19"/>
  <c r="AU220" i="19"/>
  <c r="AT220" i="19"/>
  <c r="N220" i="19"/>
  <c r="O220" i="19" s="1"/>
  <c r="P220" i="19" s="1"/>
  <c r="M220" i="19"/>
  <c r="AN219" i="19"/>
  <c r="AL219" i="19"/>
  <c r="AF219" i="19"/>
  <c r="AE219" i="19"/>
  <c r="N219" i="19"/>
  <c r="O219" i="19" s="1"/>
  <c r="P219" i="19" s="1"/>
  <c r="M219" i="19"/>
  <c r="H219" i="19"/>
  <c r="G219" i="19"/>
  <c r="AU218" i="19"/>
  <c r="AT218" i="19"/>
  <c r="N218" i="19"/>
  <c r="O218" i="19" s="1"/>
  <c r="P218" i="19" s="1"/>
  <c r="M218" i="19"/>
  <c r="AN217" i="19"/>
  <c r="AM217" i="19"/>
  <c r="M217" i="19"/>
  <c r="K217" i="19"/>
  <c r="F217" i="19"/>
  <c r="E217" i="19"/>
  <c r="AN216" i="19"/>
  <c r="AF216" i="19"/>
  <c r="AE216" i="19"/>
  <c r="H216" i="19"/>
  <c r="G216" i="19"/>
  <c r="AL215" i="19"/>
  <c r="AF215" i="19"/>
  <c r="AE215" i="19"/>
  <c r="AB215" i="19"/>
  <c r="AN215" i="19" s="1"/>
  <c r="N215" i="19"/>
  <c r="O215" i="19" s="1"/>
  <c r="P215" i="19" s="1"/>
  <c r="M215" i="19"/>
  <c r="H215" i="19"/>
  <c r="G215" i="19"/>
  <c r="AN214" i="19"/>
  <c r="AM214" i="19"/>
  <c r="AF214" i="19"/>
  <c r="AE214" i="19"/>
  <c r="AD214" i="19"/>
  <c r="N214" i="19"/>
  <c r="O214" i="19" s="1"/>
  <c r="P214" i="19" s="1"/>
  <c r="M214" i="19"/>
  <c r="J214" i="19"/>
  <c r="I214" i="19"/>
  <c r="H214" i="19"/>
  <c r="G214" i="19"/>
  <c r="AN213" i="19"/>
  <c r="AM213" i="19"/>
  <c r="AU213" i="19" s="1"/>
  <c r="M213" i="19"/>
  <c r="AN212" i="19"/>
  <c r="AM212" i="19"/>
  <c r="AF212" i="19"/>
  <c r="AE212" i="19"/>
  <c r="AD212" i="19"/>
  <c r="N212" i="19"/>
  <c r="O212" i="19" s="1"/>
  <c r="P212" i="19" s="1"/>
  <c r="M212" i="19"/>
  <c r="J212" i="19"/>
  <c r="I212" i="19"/>
  <c r="H212" i="19"/>
  <c r="G212" i="19"/>
  <c r="AN211" i="19"/>
  <c r="AM211" i="19"/>
  <c r="AU211" i="19" s="1"/>
  <c r="M211" i="19"/>
  <c r="AU210" i="19"/>
  <c r="AT210" i="19"/>
  <c r="K210" i="19"/>
  <c r="F210" i="19"/>
  <c r="E210" i="19"/>
  <c r="M193" i="19" s="1"/>
  <c r="AU209" i="19"/>
  <c r="AT209" i="19"/>
  <c r="AR209" i="19"/>
  <c r="I209" i="19"/>
  <c r="I210" i="19" s="1"/>
  <c r="A209" i="19"/>
  <c r="AM208" i="19"/>
  <c r="AF208" i="19"/>
  <c r="AE208" i="19"/>
  <c r="AD208" i="19"/>
  <c r="J208" i="19"/>
  <c r="J210" i="19" s="1"/>
  <c r="H208" i="19"/>
  <c r="H210" i="19" s="1"/>
  <c r="G208" i="19"/>
  <c r="G210" i="19" s="1"/>
  <c r="AN207" i="19"/>
  <c r="AM207" i="19"/>
  <c r="AU207" i="19" s="1"/>
  <c r="N207" i="19"/>
  <c r="O207" i="19" s="1"/>
  <c r="P207" i="19" s="1"/>
  <c r="M207" i="19"/>
  <c r="AN206" i="19"/>
  <c r="AM206" i="19"/>
  <c r="AU206" i="19" s="1"/>
  <c r="K206" i="19"/>
  <c r="F206" i="19"/>
  <c r="E206" i="19"/>
  <c r="N199" i="19" s="1"/>
  <c r="O199" i="19" s="1"/>
  <c r="P199" i="19" s="1"/>
  <c r="AN205" i="19"/>
  <c r="AM205" i="19"/>
  <c r="AF205" i="19"/>
  <c r="AE205" i="19"/>
  <c r="AD205" i="19"/>
  <c r="N205" i="19"/>
  <c r="O205" i="19" s="1"/>
  <c r="P205" i="19" s="1"/>
  <c r="M205" i="19"/>
  <c r="J205" i="19"/>
  <c r="J206" i="19" s="1"/>
  <c r="I205" i="19"/>
  <c r="I206" i="19" s="1"/>
  <c r="H205" i="19"/>
  <c r="G205" i="19"/>
  <c r="AN204" i="19"/>
  <c r="AM204" i="19"/>
  <c r="AF204" i="19"/>
  <c r="AE204" i="19"/>
  <c r="AD204" i="19"/>
  <c r="N204" i="19"/>
  <c r="O204" i="19" s="1"/>
  <c r="P204" i="19" s="1"/>
  <c r="M204" i="19"/>
  <c r="H204" i="19"/>
  <c r="G204" i="19"/>
  <c r="AN203" i="19"/>
  <c r="AM203" i="19"/>
  <c r="AU203" i="19" s="1"/>
  <c r="AN202" i="19"/>
  <c r="AM202" i="19"/>
  <c r="AU202" i="19" s="1"/>
  <c r="M202" i="19"/>
  <c r="K202" i="19"/>
  <c r="I202" i="19"/>
  <c r="F202" i="19"/>
  <c r="E202" i="19"/>
  <c r="AN201" i="19"/>
  <c r="AM201" i="19"/>
  <c r="AF201" i="19"/>
  <c r="AE201" i="19"/>
  <c r="AD201" i="19"/>
  <c r="N201" i="19"/>
  <c r="O201" i="19" s="1"/>
  <c r="P201" i="19" s="1"/>
  <c r="M201" i="19"/>
  <c r="H201" i="19"/>
  <c r="G201" i="19"/>
  <c r="AN200" i="19"/>
  <c r="AF200" i="19"/>
  <c r="AE200" i="19"/>
  <c r="AD200" i="19"/>
  <c r="V200" i="19"/>
  <c r="T200" i="19"/>
  <c r="S200" i="19" s="1"/>
  <c r="J200" i="19"/>
  <c r="J202" i="19" s="1"/>
  <c r="H200" i="19"/>
  <c r="G200" i="19"/>
  <c r="AN199" i="19"/>
  <c r="AE199" i="19"/>
  <c r="H199" i="19"/>
  <c r="G199" i="19"/>
  <c r="AN198" i="19"/>
  <c r="AM198" i="19"/>
  <c r="AU198" i="19" s="1"/>
  <c r="N198" i="19"/>
  <c r="O198" i="19" s="1"/>
  <c r="P198" i="19" s="1"/>
  <c r="M198" i="19"/>
  <c r="AN197" i="19"/>
  <c r="AM197" i="19"/>
  <c r="AU197" i="19" s="1"/>
  <c r="N197" i="19"/>
  <c r="O197" i="19" s="1"/>
  <c r="P197" i="19" s="1"/>
  <c r="M197" i="19"/>
  <c r="K197" i="19"/>
  <c r="F197" i="19"/>
  <c r="E197" i="19"/>
  <c r="M190" i="19" s="1"/>
  <c r="AN196" i="19"/>
  <c r="AM196" i="19"/>
  <c r="AF196" i="19"/>
  <c r="AE196" i="19"/>
  <c r="AD196" i="19"/>
  <c r="N196" i="19"/>
  <c r="O196" i="19" s="1"/>
  <c r="P196" i="19" s="1"/>
  <c r="M196" i="19"/>
  <c r="H196" i="19"/>
  <c r="G196" i="19"/>
  <c r="AN195" i="19"/>
  <c r="AL195" i="19"/>
  <c r="AF195" i="19"/>
  <c r="AE195" i="19"/>
  <c r="H195" i="19"/>
  <c r="G195" i="19"/>
  <c r="AN194" i="19"/>
  <c r="AL194" i="19"/>
  <c r="AF194" i="19"/>
  <c r="AE194" i="19"/>
  <c r="H194" i="19"/>
  <c r="G194" i="19"/>
  <c r="AM193" i="19"/>
  <c r="AF193" i="19"/>
  <c r="AE193" i="19"/>
  <c r="AD193" i="19"/>
  <c r="AB193" i="19"/>
  <c r="AA193" i="19"/>
  <c r="J193" i="19"/>
  <c r="J197" i="19" s="1"/>
  <c r="I193" i="19"/>
  <c r="I197" i="19" s="1"/>
  <c r="H193" i="19"/>
  <c r="G193" i="19"/>
  <c r="A193" i="19"/>
  <c r="AU192" i="19"/>
  <c r="AT192" i="19"/>
  <c r="AR192" i="19"/>
  <c r="AQ192" i="19"/>
  <c r="N192" i="19"/>
  <c r="O192" i="19" s="1"/>
  <c r="P192" i="19" s="1"/>
  <c r="M192" i="19"/>
  <c r="AN191" i="19"/>
  <c r="AM191" i="19"/>
  <c r="AU191" i="19" s="1"/>
  <c r="M191" i="19"/>
  <c r="K191" i="19"/>
  <c r="F191" i="19"/>
  <c r="E191" i="19"/>
  <c r="AN190" i="19"/>
  <c r="AM190" i="19"/>
  <c r="AF190" i="19"/>
  <c r="AE190" i="19"/>
  <c r="H190" i="19"/>
  <c r="G190" i="19"/>
  <c r="AN189" i="19"/>
  <c r="AM189" i="19"/>
  <c r="AF189" i="19"/>
  <c r="AE189" i="19"/>
  <c r="H189" i="19"/>
  <c r="G189" i="19"/>
  <c r="AN188" i="19"/>
  <c r="AM188" i="19"/>
  <c r="AF188" i="19"/>
  <c r="AE188" i="19"/>
  <c r="J188" i="19"/>
  <c r="J191" i="19" s="1"/>
  <c r="I188" i="19"/>
  <c r="I191" i="19" s="1"/>
  <c r="H188" i="19"/>
  <c r="G188" i="19"/>
  <c r="AU187" i="19"/>
  <c r="AT187" i="19"/>
  <c r="N187" i="19"/>
  <c r="O187" i="19" s="1"/>
  <c r="P187" i="19" s="1"/>
  <c r="M187" i="19"/>
  <c r="AU186" i="19"/>
  <c r="AT186" i="19"/>
  <c r="N186" i="19"/>
  <c r="O186" i="19" s="1"/>
  <c r="P186" i="19" s="1"/>
  <c r="M186" i="19"/>
  <c r="K186" i="19"/>
  <c r="F186" i="19"/>
  <c r="E186" i="19"/>
  <c r="AN185" i="19"/>
  <c r="AM185" i="19"/>
  <c r="AL185" i="19"/>
  <c r="AF185" i="19"/>
  <c r="AE185" i="19"/>
  <c r="U185" i="19"/>
  <c r="N185" i="19"/>
  <c r="O185" i="19" s="1"/>
  <c r="P185" i="19" s="1"/>
  <c r="M185" i="19"/>
  <c r="J185" i="19"/>
  <c r="J186" i="19" s="1"/>
  <c r="I185" i="19"/>
  <c r="I186" i="19" s="1"/>
  <c r="H185" i="19"/>
  <c r="H186" i="19" s="1"/>
  <c r="G185" i="19"/>
  <c r="G186" i="19" s="1"/>
  <c r="AN184" i="19"/>
  <c r="AM184" i="19"/>
  <c r="AU184" i="19" s="1"/>
  <c r="N184" i="19"/>
  <c r="O184" i="19" s="1"/>
  <c r="P184" i="19" s="1"/>
  <c r="M184" i="19"/>
  <c r="AN183" i="19"/>
  <c r="AM183" i="19"/>
  <c r="AU183" i="19" s="1"/>
  <c r="K183" i="19"/>
  <c r="J183" i="19"/>
  <c r="I183" i="19"/>
  <c r="F183" i="19"/>
  <c r="E183" i="19"/>
  <c r="N176" i="19" s="1"/>
  <c r="N183" i="19" s="1"/>
  <c r="AN182" i="19"/>
  <c r="AL182" i="19"/>
  <c r="AF182" i="19"/>
  <c r="AE182" i="19"/>
  <c r="N182" i="19"/>
  <c r="O182" i="19" s="1"/>
  <c r="P182" i="19" s="1"/>
  <c r="M182" i="19"/>
  <c r="H182" i="19"/>
  <c r="G182" i="19"/>
  <c r="AN181" i="19"/>
  <c r="AL181" i="19"/>
  <c r="AG181" i="19"/>
  <c r="AF181" i="19"/>
  <c r="AE181" i="19"/>
  <c r="N181" i="19"/>
  <c r="O181" i="19" s="1"/>
  <c r="P181" i="19" s="1"/>
  <c r="M181" i="19"/>
  <c r="H181" i="19"/>
  <c r="G181" i="19"/>
  <c r="AN180" i="19"/>
  <c r="AM180" i="19"/>
  <c r="AU180" i="19" s="1"/>
  <c r="AN179" i="19"/>
  <c r="AM179" i="19"/>
  <c r="AU179" i="19" s="1"/>
  <c r="Z179" i="19"/>
  <c r="Z183" i="19" s="1"/>
  <c r="Y179" i="19"/>
  <c r="Y183" i="19" s="1"/>
  <c r="X179" i="19"/>
  <c r="X183" i="19" s="1"/>
  <c r="W179" i="19"/>
  <c r="W183" i="19" s="1"/>
  <c r="V179" i="19"/>
  <c r="V183" i="19" s="1"/>
  <c r="T179" i="19"/>
  <c r="T183" i="19" s="1"/>
  <c r="S179" i="19"/>
  <c r="S183" i="19" s="1"/>
  <c r="R179" i="19"/>
  <c r="R183" i="19" s="1"/>
  <c r="Q179" i="19"/>
  <c r="Q183" i="19" s="1"/>
  <c r="K179" i="19"/>
  <c r="F179" i="19"/>
  <c r="E179" i="19"/>
  <c r="AN178" i="19"/>
  <c r="AF178" i="19"/>
  <c r="AE178" i="19"/>
  <c r="M178" i="19"/>
  <c r="H178" i="19"/>
  <c r="G178" i="19"/>
  <c r="AN177" i="19"/>
  <c r="AF177" i="19"/>
  <c r="AE177" i="19"/>
  <c r="U177" i="19"/>
  <c r="N177" i="19"/>
  <c r="O177" i="19" s="1"/>
  <c r="P177" i="19" s="1"/>
  <c r="M177" i="19"/>
  <c r="H177" i="19"/>
  <c r="G177" i="19"/>
  <c r="AN176" i="19"/>
  <c r="AM176" i="19"/>
  <c r="AF176" i="19"/>
  <c r="AE176" i="19"/>
  <c r="AD176" i="19"/>
  <c r="J176" i="19"/>
  <c r="J179" i="19" s="1"/>
  <c r="I176" i="19"/>
  <c r="I179" i="19" s="1"/>
  <c r="H176" i="19"/>
  <c r="G176" i="19"/>
  <c r="AN175" i="19"/>
  <c r="AM175" i="19"/>
  <c r="AU175" i="19" s="1"/>
  <c r="AN174" i="19"/>
  <c r="AM174" i="19"/>
  <c r="AU174" i="19" s="1"/>
  <c r="N174" i="19"/>
  <c r="O174" i="19" s="1"/>
  <c r="P174" i="19" s="1"/>
  <c r="M174" i="19"/>
  <c r="J174" i="19"/>
  <c r="I174" i="19"/>
  <c r="F174" i="19"/>
  <c r="E174" i="19"/>
  <c r="AN173" i="19"/>
  <c r="AM173" i="19"/>
  <c r="AU173" i="19" s="1"/>
  <c r="AN172" i="19"/>
  <c r="AM172" i="19"/>
  <c r="AF172" i="19"/>
  <c r="AE172" i="19"/>
  <c r="AD172" i="19"/>
  <c r="N172" i="19"/>
  <c r="O172" i="19" s="1"/>
  <c r="P172" i="19" s="1"/>
  <c r="M172" i="19"/>
  <c r="H172" i="19"/>
  <c r="H174" i="19" s="1"/>
  <c r="G172" i="19"/>
  <c r="G174" i="19" s="1"/>
  <c r="AN171" i="19"/>
  <c r="AM171" i="19"/>
  <c r="AU171" i="19" s="1"/>
  <c r="N171" i="19"/>
  <c r="O171" i="19" s="1"/>
  <c r="P171" i="19" s="1"/>
  <c r="M171" i="19"/>
  <c r="AN170" i="19"/>
  <c r="AM170" i="19"/>
  <c r="AU170" i="19" s="1"/>
  <c r="Y170" i="19"/>
  <c r="N170" i="19"/>
  <c r="O170" i="19" s="1"/>
  <c r="P170" i="19" s="1"/>
  <c r="M170" i="19"/>
  <c r="F170" i="19"/>
  <c r="E170" i="19"/>
  <c r="M163" i="19" s="1"/>
  <c r="AL169" i="19"/>
  <c r="AF169" i="19"/>
  <c r="AE169" i="19"/>
  <c r="AA169" i="19"/>
  <c r="AN169" i="19" s="1"/>
  <c r="J169" i="19"/>
  <c r="I169" i="19"/>
  <c r="H169" i="19"/>
  <c r="G169" i="19"/>
  <c r="A169" i="19"/>
  <c r="AL168" i="19"/>
  <c r="AG168" i="19"/>
  <c r="AF168" i="19"/>
  <c r="AA168" i="19"/>
  <c r="AN168" i="19" s="1"/>
  <c r="U168" i="19"/>
  <c r="N168" i="19"/>
  <c r="O168" i="19" s="1"/>
  <c r="P168" i="19" s="1"/>
  <c r="M168" i="19"/>
  <c r="J168" i="19"/>
  <c r="J170" i="19" s="1"/>
  <c r="I168" i="19"/>
  <c r="I170" i="19" s="1"/>
  <c r="H168" i="19"/>
  <c r="H170" i="19" s="1"/>
  <c r="G168" i="19"/>
  <c r="G170" i="19" s="1"/>
  <c r="A168" i="19"/>
  <c r="AU167" i="19"/>
  <c r="AT167" i="19"/>
  <c r="U167" i="19"/>
  <c r="AN166" i="19"/>
  <c r="AM166" i="19"/>
  <c r="AU166" i="19" s="1"/>
  <c r="U166" i="19"/>
  <c r="N166" i="19"/>
  <c r="O166" i="19" s="1"/>
  <c r="P166" i="19" s="1"/>
  <c r="M166" i="19"/>
  <c r="K166" i="19"/>
  <c r="F166" i="19"/>
  <c r="E166" i="19"/>
  <c r="AN165" i="19"/>
  <c r="AG165" i="19"/>
  <c r="AF165" i="19"/>
  <c r="AE165" i="19"/>
  <c r="M165" i="19"/>
  <c r="J165" i="19"/>
  <c r="I165" i="19"/>
  <c r="H165" i="19"/>
  <c r="G165" i="19"/>
  <c r="AN164" i="19"/>
  <c r="AM164" i="19"/>
  <c r="AS164" i="19" s="1"/>
  <c r="J164" i="19"/>
  <c r="I164" i="19"/>
  <c r="H164" i="19"/>
  <c r="G164" i="19"/>
  <c r="AN163" i="19"/>
  <c r="AL163" i="19"/>
  <c r="AG163" i="19"/>
  <c r="AF163" i="19"/>
  <c r="AE163" i="19"/>
  <c r="AD163" i="19"/>
  <c r="O163" i="19"/>
  <c r="H163" i="19"/>
  <c r="G163" i="19"/>
  <c r="AN162" i="19"/>
  <c r="AM162" i="19"/>
  <c r="AU162" i="19" s="1"/>
  <c r="N162" i="19"/>
  <c r="O162" i="19" s="1"/>
  <c r="P162" i="19" s="1"/>
  <c r="M162" i="19"/>
  <c r="AN161" i="19"/>
  <c r="AM161" i="19"/>
  <c r="AU161" i="19" s="1"/>
  <c r="N161" i="19"/>
  <c r="O161" i="19" s="1"/>
  <c r="P161" i="19" s="1"/>
  <c r="M161" i="19"/>
  <c r="F161" i="19"/>
  <c r="E161" i="19"/>
  <c r="N154" i="19" s="1"/>
  <c r="O154" i="19" s="1"/>
  <c r="P154" i="19" s="1"/>
  <c r="AN160" i="19"/>
  <c r="AL160" i="19"/>
  <c r="AF160" i="19"/>
  <c r="AE160" i="19"/>
  <c r="AD160" i="19"/>
  <c r="K160" i="19"/>
  <c r="K161" i="19" s="1"/>
  <c r="H160" i="19"/>
  <c r="G160" i="19"/>
  <c r="AN159" i="19"/>
  <c r="AF159" i="19"/>
  <c r="AE159" i="19"/>
  <c r="N159" i="19"/>
  <c r="O159" i="19" s="1"/>
  <c r="P159" i="19" s="1"/>
  <c r="M159" i="19"/>
  <c r="H159" i="19"/>
  <c r="G159" i="19"/>
  <c r="AN158" i="19"/>
  <c r="AL158" i="19"/>
  <c r="O158" i="19"/>
  <c r="H158" i="19"/>
  <c r="G158" i="19"/>
  <c r="AN157" i="19"/>
  <c r="AM157" i="19"/>
  <c r="AU157" i="19" s="1"/>
  <c r="N157" i="19"/>
  <c r="O157" i="19" s="1"/>
  <c r="P157" i="19" s="1"/>
  <c r="M157" i="19"/>
  <c r="AN156" i="19"/>
  <c r="AM156" i="19"/>
  <c r="AU156" i="19" s="1"/>
  <c r="N156" i="19"/>
  <c r="O156" i="19" s="1"/>
  <c r="P156" i="19" s="1"/>
  <c r="M156" i="19"/>
  <c r="K156" i="19"/>
  <c r="F156" i="19"/>
  <c r="E156" i="19"/>
  <c r="AN155" i="19"/>
  <c r="AF155" i="19"/>
  <c r="AE155" i="19"/>
  <c r="U155" i="19"/>
  <c r="N155" i="19"/>
  <c r="O155" i="19" s="1"/>
  <c r="P155" i="19" s="1"/>
  <c r="M155" i="19"/>
  <c r="H155" i="19"/>
  <c r="G155" i="19"/>
  <c r="AN154" i="19"/>
  <c r="AF154" i="19"/>
  <c r="AE154" i="19"/>
  <c r="J154" i="19"/>
  <c r="J156" i="19" s="1"/>
  <c r="I154" i="19"/>
  <c r="I156" i="19" s="1"/>
  <c r="H154" i="19"/>
  <c r="G154" i="19"/>
  <c r="AN153" i="19"/>
  <c r="H153" i="19"/>
  <c r="G153" i="19"/>
  <c r="AN152" i="19"/>
  <c r="AM152" i="19"/>
  <c r="AU152" i="19" s="1"/>
  <c r="N152" i="19"/>
  <c r="O152" i="19" s="1"/>
  <c r="P152" i="19" s="1"/>
  <c r="M152" i="19"/>
  <c r="AN151" i="19"/>
  <c r="AM151" i="19"/>
  <c r="AU151" i="19" s="1"/>
  <c r="N151" i="19"/>
  <c r="O151" i="19" s="1"/>
  <c r="P151" i="19" s="1"/>
  <c r="M151" i="19"/>
  <c r="K151" i="19"/>
  <c r="E151" i="19"/>
  <c r="AM150" i="19"/>
  <c r="AF150" i="19"/>
  <c r="AE150" i="19"/>
  <c r="AD150" i="19"/>
  <c r="I150" i="19"/>
  <c r="G150" i="19"/>
  <c r="F150" i="19"/>
  <c r="F151" i="19" s="1"/>
  <c r="A150" i="19"/>
  <c r="AN149" i="19"/>
  <c r="AM149" i="19"/>
  <c r="AU149" i="19" s="1"/>
  <c r="O149" i="19"/>
  <c r="P149" i="19" s="1"/>
  <c r="M149" i="19"/>
  <c r="J149" i="19"/>
  <c r="G149" i="19"/>
  <c r="A149" i="19"/>
  <c r="AF148" i="19"/>
  <c r="AE148" i="19"/>
  <c r="AD148" i="19"/>
  <c r="AA148" i="19"/>
  <c r="AN148" i="19" s="1"/>
  <c r="J148" i="19"/>
  <c r="I148" i="19"/>
  <c r="I151" i="19" s="1"/>
  <c r="H148" i="19"/>
  <c r="G148" i="19"/>
  <c r="AU147" i="19"/>
  <c r="AT147" i="19"/>
  <c r="AP147" i="19"/>
  <c r="AR147" i="19" s="1"/>
  <c r="AO147" i="19"/>
  <c r="N147" i="19"/>
  <c r="O147" i="19" s="1"/>
  <c r="P147" i="19" s="1"/>
  <c r="M147" i="19"/>
  <c r="AU146" i="19"/>
  <c r="AT146" i="19"/>
  <c r="AP146" i="19"/>
  <c r="AR146" i="19" s="1"/>
  <c r="AO146" i="19"/>
  <c r="M146" i="19"/>
  <c r="K146" i="19"/>
  <c r="F146" i="19"/>
  <c r="AQ146" i="19" s="1"/>
  <c r="E146" i="19"/>
  <c r="M134" i="19" s="1"/>
  <c r="AN145" i="19"/>
  <c r="AF145" i="19"/>
  <c r="AE145" i="19"/>
  <c r="AD145" i="19"/>
  <c r="N145" i="19"/>
  <c r="O145" i="19" s="1"/>
  <c r="P145" i="19" s="1"/>
  <c r="M145" i="19"/>
  <c r="H145" i="19"/>
  <c r="G145" i="19"/>
  <c r="AN144" i="19"/>
  <c r="AM144" i="19"/>
  <c r="AS144" i="19" s="1"/>
  <c r="AE144" i="19"/>
  <c r="AD144" i="19"/>
  <c r="I144" i="19"/>
  <c r="H144" i="19"/>
  <c r="G144" i="19"/>
  <c r="AN143" i="19"/>
  <c r="AM143" i="19"/>
  <c r="AF143" i="19"/>
  <c r="AE143" i="19"/>
  <c r="AD143" i="19"/>
  <c r="I143" i="19"/>
  <c r="H143" i="19"/>
  <c r="G143" i="19"/>
  <c r="AN142" i="19"/>
  <c r="AM142" i="19"/>
  <c r="AU142" i="19" s="1"/>
  <c r="M142" i="19"/>
  <c r="AN141" i="19"/>
  <c r="AM141" i="19"/>
  <c r="AU141" i="19" s="1"/>
  <c r="K141" i="19"/>
  <c r="J141" i="19"/>
  <c r="I141" i="19"/>
  <c r="F141" i="19"/>
  <c r="E141" i="19"/>
  <c r="AN140" i="19"/>
  <c r="AF140" i="19"/>
  <c r="AE140" i="19"/>
  <c r="AD140" i="19"/>
  <c r="H140" i="19"/>
  <c r="G140" i="19"/>
  <c r="AN139" i="19"/>
  <c r="AF139" i="19"/>
  <c r="AE139" i="19"/>
  <c r="AD139" i="19"/>
  <c r="M139" i="19"/>
  <c r="H139" i="19"/>
  <c r="G139" i="19"/>
  <c r="AN138" i="19"/>
  <c r="AF138" i="19"/>
  <c r="AE138" i="19"/>
  <c r="H138" i="19"/>
  <c r="G138" i="19"/>
  <c r="AN137" i="19"/>
  <c r="AM137" i="19"/>
  <c r="AU137" i="19" s="1"/>
  <c r="N137" i="19"/>
  <c r="O137" i="19" s="1"/>
  <c r="P137" i="19" s="1"/>
  <c r="M137" i="19"/>
  <c r="AN136" i="19"/>
  <c r="AM136" i="19"/>
  <c r="AU136" i="19" s="1"/>
  <c r="N136" i="19"/>
  <c r="O136" i="19" s="1"/>
  <c r="P136" i="19" s="1"/>
  <c r="M136" i="19"/>
  <c r="F136" i="19"/>
  <c r="E136" i="19"/>
  <c r="AM135" i="19"/>
  <c r="AF135" i="19"/>
  <c r="AE135" i="19"/>
  <c r="AD135" i="19"/>
  <c r="AB135" i="19"/>
  <c r="AN135" i="19" s="1"/>
  <c r="U135" i="19"/>
  <c r="N135" i="19"/>
  <c r="O135" i="19" s="1"/>
  <c r="P135" i="19" s="1"/>
  <c r="M135" i="19"/>
  <c r="J135" i="19"/>
  <c r="I135" i="19"/>
  <c r="H135" i="19"/>
  <c r="G135" i="19"/>
  <c r="AM134" i="19"/>
  <c r="AG134" i="19"/>
  <c r="AE134" i="19"/>
  <c r="AD134" i="19"/>
  <c r="AB134" i="19"/>
  <c r="AN134" i="19" s="1"/>
  <c r="J134" i="19"/>
  <c r="I134" i="19"/>
  <c r="H134" i="19"/>
  <c r="G134" i="19"/>
  <c r="AM133" i="19"/>
  <c r="AL133" i="19"/>
  <c r="AG133" i="19"/>
  <c r="AF133" i="19"/>
  <c r="AE133" i="19"/>
  <c r="AD133" i="19"/>
  <c r="AB133" i="19"/>
  <c r="AN133" i="19" s="1"/>
  <c r="Z133" i="19"/>
  <c r="Y133" i="19"/>
  <c r="X133" i="19"/>
  <c r="W133" i="19"/>
  <c r="V133" i="19"/>
  <c r="T133" i="19"/>
  <c r="S133" i="19"/>
  <c r="R133" i="19"/>
  <c r="Q133" i="19"/>
  <c r="J133" i="19"/>
  <c r="I133" i="19"/>
  <c r="H133" i="19"/>
  <c r="G133" i="19"/>
  <c r="AU132" i="19"/>
  <c r="AT132" i="19"/>
  <c r="AP132" i="19"/>
  <c r="AQ132" i="19" s="1"/>
  <c r="AO132" i="19"/>
  <c r="N132" i="19"/>
  <c r="O132" i="19" s="1"/>
  <c r="P132" i="19" s="1"/>
  <c r="M132" i="19"/>
  <c r="AN131" i="19"/>
  <c r="AF131" i="19"/>
  <c r="AE131" i="19"/>
  <c r="AD131" i="19"/>
  <c r="N131" i="19"/>
  <c r="M131" i="19"/>
  <c r="H131" i="19"/>
  <c r="G131" i="19"/>
  <c r="AN130" i="19"/>
  <c r="AM130" i="19"/>
  <c r="AU130" i="19" s="1"/>
  <c r="N130" i="19"/>
  <c r="O130" i="19" s="1"/>
  <c r="P130" i="19" s="1"/>
  <c r="M130" i="19"/>
  <c r="AU129" i="19"/>
  <c r="AT129" i="19"/>
  <c r="AP129" i="19"/>
  <c r="AO129" i="19"/>
  <c r="N129" i="19"/>
  <c r="O129" i="19" s="1"/>
  <c r="P129" i="19" s="1"/>
  <c r="M129" i="19"/>
  <c r="K129" i="19"/>
  <c r="F129" i="19"/>
  <c r="E129" i="19"/>
  <c r="AN128" i="19"/>
  <c r="AM128" i="19"/>
  <c r="AF128" i="19"/>
  <c r="N128" i="19"/>
  <c r="O128" i="19" s="1"/>
  <c r="P128" i="19" s="1"/>
  <c r="M128" i="19"/>
  <c r="I128" i="19"/>
  <c r="H128" i="19"/>
  <c r="G128" i="19"/>
  <c r="AF127" i="19"/>
  <c r="AE127" i="19"/>
  <c r="AA127" i="19"/>
  <c r="AN127" i="19" s="1"/>
  <c r="J127" i="19"/>
  <c r="I127" i="19"/>
  <c r="H127" i="19"/>
  <c r="G127" i="19"/>
  <c r="AN126" i="19"/>
  <c r="AM126" i="19"/>
  <c r="AU126" i="19" s="1"/>
  <c r="AN125" i="19"/>
  <c r="AM125" i="19"/>
  <c r="AU125" i="19" s="1"/>
  <c r="F125" i="19"/>
  <c r="E125" i="19"/>
  <c r="M118" i="19" s="1"/>
  <c r="AF124" i="19"/>
  <c r="AE124" i="19"/>
  <c r="AA124" i="19"/>
  <c r="AN124" i="19" s="1"/>
  <c r="N124" i="19"/>
  <c r="O124" i="19" s="1"/>
  <c r="P124" i="19" s="1"/>
  <c r="M124" i="19"/>
  <c r="J124" i="19"/>
  <c r="J125" i="19" s="1"/>
  <c r="I124" i="19"/>
  <c r="I125" i="19" s="1"/>
  <c r="H124" i="19"/>
  <c r="G124" i="19"/>
  <c r="AN123" i="19"/>
  <c r="AF123" i="19"/>
  <c r="M123" i="19"/>
  <c r="H123" i="19"/>
  <c r="G123" i="19"/>
  <c r="AN122" i="19"/>
  <c r="AM122" i="19"/>
  <c r="AU122" i="19" s="1"/>
  <c r="N122" i="19"/>
  <c r="O122" i="19" s="1"/>
  <c r="P122" i="19" s="1"/>
  <c r="M122" i="19"/>
  <c r="AN121" i="19"/>
  <c r="AM121" i="19"/>
  <c r="AU121" i="19" s="1"/>
  <c r="N121" i="19"/>
  <c r="O121" i="19" s="1"/>
  <c r="P121" i="19" s="1"/>
  <c r="M121" i="19"/>
  <c r="F121" i="19"/>
  <c r="E121" i="19"/>
  <c r="N114" i="19" s="1"/>
  <c r="O114" i="19" s="1"/>
  <c r="P114" i="19" s="1"/>
  <c r="AN120" i="19"/>
  <c r="AF120" i="19"/>
  <c r="AE120" i="19"/>
  <c r="AD120" i="19"/>
  <c r="M120" i="19"/>
  <c r="H120" i="19"/>
  <c r="G120" i="19"/>
  <c r="AN119" i="19"/>
  <c r="AF119" i="19"/>
  <c r="J119" i="19"/>
  <c r="J121" i="19" s="1"/>
  <c r="I119" i="19"/>
  <c r="I121" i="19" s="1"/>
  <c r="H119" i="19"/>
  <c r="G119" i="19"/>
  <c r="AN118" i="19"/>
  <c r="AL118" i="19"/>
  <c r="AF118" i="19"/>
  <c r="AE118" i="19"/>
  <c r="H118" i="19"/>
  <c r="G118" i="19"/>
  <c r="AN117" i="19"/>
  <c r="AM117" i="19"/>
  <c r="AU117" i="19" s="1"/>
  <c r="AN116" i="19"/>
  <c r="AM116" i="19"/>
  <c r="AU116" i="19" s="1"/>
  <c r="N116" i="19"/>
  <c r="O116" i="19" s="1"/>
  <c r="P116" i="19" s="1"/>
  <c r="M116" i="19"/>
  <c r="F116" i="19"/>
  <c r="E116" i="19"/>
  <c r="AN115" i="19"/>
  <c r="AL115" i="19"/>
  <c r="AF115" i="19"/>
  <c r="AE115" i="19"/>
  <c r="M115" i="19"/>
  <c r="J115" i="19"/>
  <c r="I115" i="19"/>
  <c r="H115" i="19"/>
  <c r="G115" i="19"/>
  <c r="AN114" i="19"/>
  <c r="AM114" i="19"/>
  <c r="AF114" i="19"/>
  <c r="AE114" i="19"/>
  <c r="AD114" i="19"/>
  <c r="M114" i="19"/>
  <c r="J114" i="19"/>
  <c r="I114" i="19"/>
  <c r="H114" i="19"/>
  <c r="G114" i="19"/>
  <c r="AN113" i="19"/>
  <c r="AL113" i="19"/>
  <c r="AG113" i="19"/>
  <c r="AF113" i="19"/>
  <c r="AE113" i="19"/>
  <c r="N113" i="19"/>
  <c r="O113" i="19" s="1"/>
  <c r="P113" i="19" s="1"/>
  <c r="M113" i="19"/>
  <c r="J113" i="19"/>
  <c r="I113" i="19"/>
  <c r="H113" i="19"/>
  <c r="G113" i="19"/>
  <c r="AN112" i="19"/>
  <c r="AM112" i="19"/>
  <c r="AU112" i="19" s="1"/>
  <c r="N112" i="19"/>
  <c r="O112" i="19" s="1"/>
  <c r="P112" i="19" s="1"/>
  <c r="M112" i="19"/>
  <c r="AN111" i="19"/>
  <c r="AM111" i="19"/>
  <c r="AU111" i="19" s="1"/>
  <c r="N111" i="19"/>
  <c r="O111" i="19" s="1"/>
  <c r="P111" i="19" s="1"/>
  <c r="M111" i="19"/>
  <c r="F111" i="19"/>
  <c r="E111" i="19"/>
  <c r="AG110" i="19"/>
  <c r="AF110" i="19"/>
  <c r="AE110" i="19"/>
  <c r="AA110" i="19"/>
  <c r="AN110" i="19" s="1"/>
  <c r="U110" i="19"/>
  <c r="N110" i="19"/>
  <c r="O110" i="19" s="1"/>
  <c r="P110" i="19" s="1"/>
  <c r="M110" i="19"/>
  <c r="J110" i="19"/>
  <c r="I110" i="19"/>
  <c r="H110" i="19"/>
  <c r="G110" i="19"/>
  <c r="AN109" i="19"/>
  <c r="AL109" i="19"/>
  <c r="AF109" i="19"/>
  <c r="AE109" i="19"/>
  <c r="H109" i="19"/>
  <c r="G109" i="19"/>
  <c r="AN108" i="19"/>
  <c r="AM108" i="19"/>
  <c r="AL108" i="19"/>
  <c r="AF108" i="19"/>
  <c r="AE108" i="19"/>
  <c r="AD108" i="19"/>
  <c r="N108" i="19"/>
  <c r="O108" i="19" s="1"/>
  <c r="P108" i="19" s="1"/>
  <c r="M108" i="19"/>
  <c r="H108" i="19"/>
  <c r="G108" i="19"/>
  <c r="AN107" i="19"/>
  <c r="AM107" i="19"/>
  <c r="AF107" i="19"/>
  <c r="AE107" i="19"/>
  <c r="AD107" i="19"/>
  <c r="N107" i="19"/>
  <c r="O107" i="19" s="1"/>
  <c r="P107" i="19" s="1"/>
  <c r="M107" i="19"/>
  <c r="H107" i="19"/>
  <c r="G107" i="19"/>
  <c r="AN106" i="19"/>
  <c r="AM106" i="19"/>
  <c r="AU106" i="19" s="1"/>
  <c r="N106" i="19"/>
  <c r="O106" i="19" s="1"/>
  <c r="P106" i="19" s="1"/>
  <c r="M106" i="19"/>
  <c r="AN105" i="19"/>
  <c r="AM105" i="19"/>
  <c r="AU105" i="19" s="1"/>
  <c r="M105" i="19"/>
  <c r="F105" i="19"/>
  <c r="E105" i="19"/>
  <c r="AN104" i="19"/>
  <c r="AM104" i="19"/>
  <c r="AF104" i="19"/>
  <c r="AE104" i="19"/>
  <c r="AD104" i="19"/>
  <c r="N104" i="19"/>
  <c r="O104" i="19" s="1"/>
  <c r="P104" i="19" s="1"/>
  <c r="M104" i="19"/>
  <c r="H104" i="19"/>
  <c r="G104" i="19"/>
  <c r="AN103" i="19"/>
  <c r="AM103" i="19"/>
  <c r="AF103" i="19"/>
  <c r="AE103" i="19"/>
  <c r="AD103" i="19"/>
  <c r="N103" i="19"/>
  <c r="O103" i="19" s="1"/>
  <c r="P103" i="19" s="1"/>
  <c r="M103" i="19"/>
  <c r="H103" i="19"/>
  <c r="G103" i="19"/>
  <c r="AN102" i="19"/>
  <c r="AM102" i="19"/>
  <c r="AF102" i="19"/>
  <c r="AE102" i="19"/>
  <c r="AD102" i="19"/>
  <c r="N102" i="19"/>
  <c r="O102" i="19" s="1"/>
  <c r="P102" i="19" s="1"/>
  <c r="M102" i="19"/>
  <c r="H102" i="19"/>
  <c r="G102" i="19"/>
  <c r="AN101" i="19"/>
  <c r="AM101" i="19"/>
  <c r="AF101" i="19"/>
  <c r="AE101" i="19"/>
  <c r="AD101" i="19"/>
  <c r="N101" i="19"/>
  <c r="O101" i="19" s="1"/>
  <c r="P101" i="19" s="1"/>
  <c r="M101" i="19"/>
  <c r="H101" i="19"/>
  <c r="G101" i="19"/>
  <c r="AN100" i="19"/>
  <c r="AM100" i="19"/>
  <c r="AU100" i="19" s="1"/>
  <c r="N100" i="19"/>
  <c r="O100" i="19" s="1"/>
  <c r="P100" i="19" s="1"/>
  <c r="M100" i="19"/>
  <c r="AN99" i="19"/>
  <c r="AM99" i="19"/>
  <c r="AU99" i="19" s="1"/>
  <c r="M99" i="19"/>
  <c r="K99" i="19"/>
  <c r="J99" i="19"/>
  <c r="I99" i="19"/>
  <c r="F99" i="19"/>
  <c r="E99" i="19"/>
  <c r="M92" i="19" s="1"/>
  <c r="AN98" i="19"/>
  <c r="AM98" i="19"/>
  <c r="AF98" i="19"/>
  <c r="AE98" i="19"/>
  <c r="AD98" i="19"/>
  <c r="N98" i="19"/>
  <c r="O98" i="19" s="1"/>
  <c r="P98" i="19" s="1"/>
  <c r="M98" i="19"/>
  <c r="H98" i="19"/>
  <c r="G98" i="19"/>
  <c r="AN97" i="19"/>
  <c r="AF97" i="19"/>
  <c r="N97" i="19"/>
  <c r="O97" i="19" s="1"/>
  <c r="P97" i="19" s="1"/>
  <c r="M97" i="19"/>
  <c r="H97" i="19"/>
  <c r="H99" i="19" s="1"/>
  <c r="G97" i="19"/>
  <c r="AN96" i="19"/>
  <c r="AM96" i="19"/>
  <c r="AU96" i="19" s="1"/>
  <c r="N96" i="19"/>
  <c r="O96" i="19" s="1"/>
  <c r="P96" i="19" s="1"/>
  <c r="M96" i="19"/>
  <c r="AN95" i="19"/>
  <c r="AF95" i="19"/>
  <c r="AE95" i="19"/>
  <c r="N95" i="19"/>
  <c r="O95" i="19" s="1"/>
  <c r="P95" i="19" s="1"/>
  <c r="M95" i="19"/>
  <c r="H95" i="19"/>
  <c r="G95" i="19"/>
  <c r="AU94" i="19"/>
  <c r="AT94" i="19"/>
  <c r="AP94" i="19"/>
  <c r="AQ94" i="19" s="1"/>
  <c r="N94" i="19"/>
  <c r="O94" i="19" s="1"/>
  <c r="P94" i="19" s="1"/>
  <c r="M94" i="19"/>
  <c r="AU93" i="19"/>
  <c r="AT93" i="19"/>
  <c r="M93" i="19"/>
  <c r="F93" i="19"/>
  <c r="E93" i="19"/>
  <c r="AF92" i="19"/>
  <c r="AE92" i="19"/>
  <c r="AB92" i="19"/>
  <c r="AN92" i="19" s="1"/>
  <c r="N92" i="19"/>
  <c r="O92" i="19" s="1"/>
  <c r="P92" i="19" s="1"/>
  <c r="J92" i="19"/>
  <c r="J93" i="19" s="1"/>
  <c r="I92" i="19"/>
  <c r="I93" i="19" s="1"/>
  <c r="H92" i="19"/>
  <c r="G92" i="19"/>
  <c r="AN91" i="19"/>
  <c r="AL91" i="19"/>
  <c r="AF91" i="19"/>
  <c r="AE91" i="19"/>
  <c r="AD91" i="19"/>
  <c r="H91" i="19"/>
  <c r="G91" i="19"/>
  <c r="AN90" i="19"/>
  <c r="AM90" i="19"/>
  <c r="AG90" i="19"/>
  <c r="AF90" i="19"/>
  <c r="AE90" i="19"/>
  <c r="M90" i="19"/>
  <c r="H90" i="19"/>
  <c r="G90" i="19"/>
  <c r="AN89" i="19"/>
  <c r="AM89" i="19"/>
  <c r="AU89" i="19" s="1"/>
  <c r="M89" i="19"/>
  <c r="AN88" i="19"/>
  <c r="AM88" i="19"/>
  <c r="AU88" i="19" s="1"/>
  <c r="N88" i="19"/>
  <c r="O88" i="19" s="1"/>
  <c r="P88" i="19" s="1"/>
  <c r="M88" i="19"/>
  <c r="K88" i="19"/>
  <c r="F88" i="19"/>
  <c r="E88" i="19"/>
  <c r="AN87" i="19"/>
  <c r="AM87" i="19"/>
  <c r="AS87" i="19" s="1"/>
  <c r="AF87" i="19"/>
  <c r="AE87" i="19"/>
  <c r="AD87" i="19"/>
  <c r="N87" i="19"/>
  <c r="O87" i="19" s="1"/>
  <c r="P87" i="19" s="1"/>
  <c r="M87" i="19"/>
  <c r="J87" i="19"/>
  <c r="I87" i="19"/>
  <c r="H87" i="19"/>
  <c r="G87" i="19"/>
  <c r="AN86" i="19"/>
  <c r="AM86" i="19"/>
  <c r="AF86" i="19"/>
  <c r="AE86" i="19"/>
  <c r="AD86" i="19"/>
  <c r="N86" i="19"/>
  <c r="O86" i="19" s="1"/>
  <c r="P86" i="19" s="1"/>
  <c r="M86" i="19"/>
  <c r="J86" i="19"/>
  <c r="I86" i="19"/>
  <c r="H86" i="19"/>
  <c r="G86" i="19"/>
  <c r="AN85" i="19"/>
  <c r="AM85" i="19"/>
  <c r="AU85" i="19" s="1"/>
  <c r="N85" i="19"/>
  <c r="O85" i="19" s="1"/>
  <c r="P85" i="19" s="1"/>
  <c r="M85" i="19"/>
  <c r="AN84" i="19"/>
  <c r="AM84" i="19"/>
  <c r="AU84" i="19" s="1"/>
  <c r="N84" i="19"/>
  <c r="O84" i="19" s="1"/>
  <c r="P84" i="19" s="1"/>
  <c r="M84" i="19"/>
  <c r="K84" i="19"/>
  <c r="F84" i="19"/>
  <c r="E84" i="19"/>
  <c r="AN83" i="19"/>
  <c r="AM83" i="19"/>
  <c r="AF83" i="19"/>
  <c r="AE83" i="19"/>
  <c r="AD83" i="19"/>
  <c r="N83" i="19"/>
  <c r="O83" i="19" s="1"/>
  <c r="P83" i="19" s="1"/>
  <c r="M83" i="19"/>
  <c r="J83" i="19"/>
  <c r="J84" i="19" s="1"/>
  <c r="I83" i="19"/>
  <c r="I84" i="19" s="1"/>
  <c r="H83" i="19"/>
  <c r="G83" i="19"/>
  <c r="AN82" i="19"/>
  <c r="AM82" i="19"/>
  <c r="AF82" i="19"/>
  <c r="AE82" i="19"/>
  <c r="AD82" i="19"/>
  <c r="N82" i="19"/>
  <c r="O82" i="19" s="1"/>
  <c r="P82" i="19" s="1"/>
  <c r="M82" i="19"/>
  <c r="H82" i="19"/>
  <c r="G82" i="19"/>
  <c r="AN81" i="19"/>
  <c r="AM81" i="19"/>
  <c r="AU81" i="19" s="1"/>
  <c r="AN80" i="19"/>
  <c r="AM80" i="19"/>
  <c r="AU80" i="19" s="1"/>
  <c r="N80" i="19"/>
  <c r="O80" i="19" s="1"/>
  <c r="P80" i="19" s="1"/>
  <c r="M80" i="19"/>
  <c r="F80" i="19"/>
  <c r="E80" i="19"/>
  <c r="M73" i="19" s="1"/>
  <c r="AN79" i="19"/>
  <c r="AF79" i="19"/>
  <c r="AE79" i="19"/>
  <c r="AD79" i="19"/>
  <c r="N79" i="19"/>
  <c r="O79" i="19" s="1"/>
  <c r="P79" i="19" s="1"/>
  <c r="M79" i="19"/>
  <c r="H79" i="19"/>
  <c r="G79" i="19"/>
  <c r="AN78" i="19"/>
  <c r="AF78" i="19"/>
  <c r="AD78" i="19"/>
  <c r="U78" i="19"/>
  <c r="N78" i="19"/>
  <c r="O78" i="19" s="1"/>
  <c r="P78" i="19" s="1"/>
  <c r="M78" i="19"/>
  <c r="J78" i="19"/>
  <c r="J80" i="19" s="1"/>
  <c r="I78" i="19"/>
  <c r="I80" i="19" s="1"/>
  <c r="H78" i="19"/>
  <c r="G78" i="19"/>
  <c r="G80" i="19" s="1"/>
  <c r="AN77" i="19"/>
  <c r="AM77" i="19"/>
  <c r="AU77" i="19" s="1"/>
  <c r="AN76" i="19"/>
  <c r="AM76" i="19"/>
  <c r="AU76" i="19" s="1"/>
  <c r="K76" i="19"/>
  <c r="F76" i="19"/>
  <c r="E76" i="19"/>
  <c r="AM75" i="19"/>
  <c r="AG75" i="19"/>
  <c r="AF75" i="19"/>
  <c r="AE75" i="19"/>
  <c r="AD75" i="19"/>
  <c r="AB75" i="19"/>
  <c r="AN75" i="19" s="1"/>
  <c r="H75" i="19"/>
  <c r="G75" i="19"/>
  <c r="AM74" i="19"/>
  <c r="AF74" i="19"/>
  <c r="AE74" i="19"/>
  <c r="AD74" i="19"/>
  <c r="AB74" i="19"/>
  <c r="AN74" i="19" s="1"/>
  <c r="U74" i="19"/>
  <c r="N74" i="19"/>
  <c r="O74" i="19" s="1"/>
  <c r="P74" i="19" s="1"/>
  <c r="M74" i="19"/>
  <c r="J74" i="19"/>
  <c r="I74" i="19"/>
  <c r="H74" i="19"/>
  <c r="G74" i="19"/>
  <c r="AM73" i="19"/>
  <c r="AG73" i="19"/>
  <c r="AF73" i="19"/>
  <c r="AE73" i="19"/>
  <c r="AD73" i="19"/>
  <c r="AB73" i="19"/>
  <c r="AN73" i="19" s="1"/>
  <c r="N73" i="19"/>
  <c r="O73" i="19" s="1"/>
  <c r="P73" i="19" s="1"/>
  <c r="J73" i="19"/>
  <c r="I73" i="19"/>
  <c r="H73" i="19"/>
  <c r="G73" i="19"/>
  <c r="AN72" i="19"/>
  <c r="AM72" i="19"/>
  <c r="AU72" i="19" s="1"/>
  <c r="AN71" i="19"/>
  <c r="AM71" i="19"/>
  <c r="AU71" i="19" s="1"/>
  <c r="N71" i="19"/>
  <c r="O71" i="19" s="1"/>
  <c r="P71" i="19" s="1"/>
  <c r="M71" i="19"/>
  <c r="K71" i="19"/>
  <c r="F71" i="19"/>
  <c r="E71" i="19"/>
  <c r="AN70" i="19"/>
  <c r="AL70" i="19"/>
  <c r="AF70" i="19"/>
  <c r="AE70" i="19"/>
  <c r="V70" i="19"/>
  <c r="T70" i="19"/>
  <c r="S70" i="19" s="1"/>
  <c r="N70" i="19"/>
  <c r="O70" i="19" s="1"/>
  <c r="P70" i="19" s="1"/>
  <c r="M70" i="19"/>
  <c r="J70" i="19"/>
  <c r="J71" i="19" s="1"/>
  <c r="I70" i="19"/>
  <c r="I71" i="19" s="1"/>
  <c r="H70" i="19"/>
  <c r="G70" i="19"/>
  <c r="AN69" i="19"/>
  <c r="AF69" i="19"/>
  <c r="AE69" i="19"/>
  <c r="H69" i="19"/>
  <c r="G69" i="19"/>
  <c r="AN68" i="19"/>
  <c r="AM68" i="19"/>
  <c r="AU68" i="19" s="1"/>
  <c r="N68" i="19"/>
  <c r="O68" i="19" s="1"/>
  <c r="P68" i="19" s="1"/>
  <c r="M68" i="19"/>
  <c r="AN67" i="19"/>
  <c r="AM67" i="19"/>
  <c r="AU67" i="19" s="1"/>
  <c r="J67" i="19"/>
  <c r="I67" i="19"/>
  <c r="F67" i="19"/>
  <c r="E67" i="19"/>
  <c r="AN66" i="19"/>
  <c r="AG66" i="19"/>
  <c r="AF66" i="19"/>
  <c r="AE66" i="19"/>
  <c r="M66" i="19"/>
  <c r="H66" i="19"/>
  <c r="G66" i="19"/>
  <c r="AN65" i="19"/>
  <c r="AM65" i="19"/>
  <c r="AF65" i="19"/>
  <c r="AE65" i="19"/>
  <c r="AD65" i="19"/>
  <c r="N65" i="19"/>
  <c r="O65" i="19" s="1"/>
  <c r="M65" i="19"/>
  <c r="H65" i="19"/>
  <c r="G65" i="19"/>
  <c r="AN64" i="19"/>
  <c r="AM64" i="19"/>
  <c r="AF64" i="19"/>
  <c r="AE64" i="19"/>
  <c r="AD64" i="19"/>
  <c r="N64" i="19"/>
  <c r="O64" i="19" s="1"/>
  <c r="P64" i="19" s="1"/>
  <c r="M64" i="19"/>
  <c r="H64" i="19"/>
  <c r="G64" i="19"/>
  <c r="AN63" i="19"/>
  <c r="AM63" i="19"/>
  <c r="AU63" i="19" s="1"/>
  <c r="M63" i="19"/>
  <c r="AN62" i="19"/>
  <c r="AM62" i="19"/>
  <c r="AU62" i="19" s="1"/>
  <c r="AN61" i="19"/>
  <c r="AL61" i="19"/>
  <c r="AF61" i="19"/>
  <c r="AE61" i="19"/>
  <c r="V61" i="19"/>
  <c r="T61" i="19"/>
  <c r="S61" i="19" s="1"/>
  <c r="J61" i="19"/>
  <c r="I61" i="19"/>
  <c r="H61" i="19"/>
  <c r="G61" i="19"/>
  <c r="AM60" i="19"/>
  <c r="AF60" i="19"/>
  <c r="AE60" i="19"/>
  <c r="AD60" i="19"/>
  <c r="AB60" i="19"/>
  <c r="AA60" i="19"/>
  <c r="J60" i="19"/>
  <c r="I60" i="19"/>
  <c r="F60" i="19"/>
  <c r="F62" i="19" s="1"/>
  <c r="E60" i="19"/>
  <c r="E62" i="19" s="1"/>
  <c r="A60" i="19"/>
  <c r="AN59" i="19"/>
  <c r="AL59" i="19"/>
  <c r="AF59" i="19"/>
  <c r="AE59" i="19"/>
  <c r="N59" i="19"/>
  <c r="O59" i="19" s="1"/>
  <c r="P59" i="19" s="1"/>
  <c r="M59" i="19"/>
  <c r="H59" i="19"/>
  <c r="G59" i="19"/>
  <c r="AN58" i="19"/>
  <c r="AL58" i="19"/>
  <c r="AF58" i="19"/>
  <c r="AE58" i="19"/>
  <c r="AD58" i="19"/>
  <c r="M58" i="19"/>
  <c r="H58" i="19"/>
  <c r="G58" i="19"/>
  <c r="AN57" i="19"/>
  <c r="AM57" i="19"/>
  <c r="AU57" i="19" s="1"/>
  <c r="M57" i="19"/>
  <c r="AN56" i="19"/>
  <c r="AM56" i="19"/>
  <c r="AU56" i="19" s="1"/>
  <c r="T56" i="19"/>
  <c r="AN55" i="19"/>
  <c r="AF55" i="19"/>
  <c r="AE55" i="19"/>
  <c r="M55" i="19"/>
  <c r="J55" i="19"/>
  <c r="I55" i="19"/>
  <c r="H55" i="19"/>
  <c r="G55" i="19"/>
  <c r="AF54" i="19"/>
  <c r="AE54" i="19"/>
  <c r="AD54" i="19"/>
  <c r="AB54" i="19"/>
  <c r="AA54" i="19"/>
  <c r="F54" i="19"/>
  <c r="E54" i="19"/>
  <c r="G54" i="19" s="1"/>
  <c r="AF53" i="19"/>
  <c r="AE53" i="19"/>
  <c r="AD53" i="19"/>
  <c r="AB53" i="19"/>
  <c r="AA53" i="19"/>
  <c r="F53" i="19"/>
  <c r="E53" i="19"/>
  <c r="AN52" i="19"/>
  <c r="AF52" i="19"/>
  <c r="AE52" i="19"/>
  <c r="N52" i="19"/>
  <c r="O52" i="19" s="1"/>
  <c r="P52" i="19" s="1"/>
  <c r="M52" i="19"/>
  <c r="H52" i="19"/>
  <c r="G52" i="19"/>
  <c r="AN51" i="19"/>
  <c r="AM51" i="19"/>
  <c r="AU51" i="19" s="1"/>
  <c r="M51" i="19"/>
  <c r="AN50" i="19"/>
  <c r="AM50" i="19"/>
  <c r="AU50" i="19" s="1"/>
  <c r="F50" i="19"/>
  <c r="E50" i="19"/>
  <c r="M45" i="19" s="1"/>
  <c r="AN49" i="19"/>
  <c r="AF49" i="19"/>
  <c r="AE49" i="19"/>
  <c r="H49" i="19"/>
  <c r="G49" i="19"/>
  <c r="AN48" i="19"/>
  <c r="AL48" i="19"/>
  <c r="AF48" i="19"/>
  <c r="AE48" i="19"/>
  <c r="AD48" i="19"/>
  <c r="U48" i="19"/>
  <c r="H48" i="19"/>
  <c r="G48" i="19"/>
  <c r="AN47" i="19"/>
  <c r="AF47" i="19"/>
  <c r="AE47" i="19"/>
  <c r="U47" i="19"/>
  <c r="N47" i="19"/>
  <c r="O47" i="19" s="1"/>
  <c r="P47" i="19" s="1"/>
  <c r="M47" i="19"/>
  <c r="H47" i="19"/>
  <c r="H50" i="19" s="1"/>
  <c r="G47" i="19"/>
  <c r="G50" i="19" s="1"/>
  <c r="AN46" i="19"/>
  <c r="AM46" i="19"/>
  <c r="AU46" i="19" s="1"/>
  <c r="M46" i="19"/>
  <c r="AN45" i="19"/>
  <c r="AL45" i="19"/>
  <c r="AF45" i="19"/>
  <c r="AE45" i="19"/>
  <c r="J45" i="19"/>
  <c r="I45" i="19"/>
  <c r="H45" i="19"/>
  <c r="G45" i="19"/>
  <c r="AN44" i="19"/>
  <c r="AM44" i="19"/>
  <c r="AU44" i="19" s="1"/>
  <c r="AN43" i="19"/>
  <c r="AM43" i="19"/>
  <c r="AU43" i="19" s="1"/>
  <c r="F43" i="19"/>
  <c r="E43" i="19"/>
  <c r="M36" i="19" s="1"/>
  <c r="AN42" i="19"/>
  <c r="AF42" i="19"/>
  <c r="AE42" i="19"/>
  <c r="U42" i="19"/>
  <c r="N42" i="19"/>
  <c r="O42" i="19" s="1"/>
  <c r="P42" i="19" s="1"/>
  <c r="M42" i="19"/>
  <c r="H42" i="19"/>
  <c r="G42" i="19"/>
  <c r="AN41" i="19"/>
  <c r="AM41" i="19"/>
  <c r="AF41" i="19"/>
  <c r="AE41" i="19"/>
  <c r="N41" i="19"/>
  <c r="O41" i="19" s="1"/>
  <c r="P41" i="19" s="1"/>
  <c r="M41" i="19"/>
  <c r="J41" i="19"/>
  <c r="I41" i="19"/>
  <c r="H41" i="19"/>
  <c r="G41" i="19"/>
  <c r="AN40" i="19"/>
  <c r="AM40" i="19"/>
  <c r="AF40" i="19"/>
  <c r="AE40" i="19"/>
  <c r="N40" i="19"/>
  <c r="O40" i="19" s="1"/>
  <c r="P40" i="19" s="1"/>
  <c r="M40" i="19"/>
  <c r="J40" i="19"/>
  <c r="I40" i="19"/>
  <c r="H40" i="19"/>
  <c r="G40" i="19"/>
  <c r="AN39" i="19"/>
  <c r="AM39" i="19"/>
  <c r="AU39" i="19" s="1"/>
  <c r="P39" i="19"/>
  <c r="M39" i="19"/>
  <c r="AN38" i="19"/>
  <c r="AM38" i="19"/>
  <c r="AU38" i="19" s="1"/>
  <c r="U38" i="19"/>
  <c r="K38" i="19"/>
  <c r="F38" i="19"/>
  <c r="E38" i="19"/>
  <c r="AN37" i="19"/>
  <c r="AM37" i="19"/>
  <c r="AF37" i="19"/>
  <c r="AE37" i="19"/>
  <c r="N37" i="19"/>
  <c r="O37" i="19" s="1"/>
  <c r="P37" i="19" s="1"/>
  <c r="M37" i="19"/>
  <c r="J37" i="19"/>
  <c r="I37" i="19"/>
  <c r="H37" i="19"/>
  <c r="G37" i="19"/>
  <c r="AN36" i="19"/>
  <c r="AM36" i="19"/>
  <c r="AF36" i="19"/>
  <c r="AE36" i="19"/>
  <c r="AD36" i="19"/>
  <c r="J36" i="19"/>
  <c r="I36" i="19"/>
  <c r="H36" i="19"/>
  <c r="G36" i="19"/>
  <c r="AN35" i="19"/>
  <c r="AM35" i="19"/>
  <c r="AU35" i="19" s="1"/>
  <c r="M35" i="19"/>
  <c r="AU34" i="19"/>
  <c r="AT34" i="19"/>
  <c r="AP34" i="19"/>
  <c r="AO34" i="19"/>
  <c r="AN34" i="19"/>
  <c r="J34" i="19"/>
  <c r="I34" i="19"/>
  <c r="F34" i="19"/>
  <c r="E34" i="19"/>
  <c r="N27" i="19" s="1"/>
  <c r="O27" i="19" s="1"/>
  <c r="P27" i="19" s="1"/>
  <c r="AN33" i="19"/>
  <c r="AM33" i="19"/>
  <c r="AF33" i="19"/>
  <c r="AE33" i="19"/>
  <c r="AD33" i="19"/>
  <c r="N33" i="19"/>
  <c r="O33" i="19" s="1"/>
  <c r="P33" i="19" s="1"/>
  <c r="M33" i="19"/>
  <c r="H33" i="19"/>
  <c r="G33" i="19"/>
  <c r="AN32" i="19"/>
  <c r="AM32" i="19"/>
  <c r="AL32" i="19"/>
  <c r="AF32" i="19"/>
  <c r="AE32" i="19"/>
  <c r="AD32" i="19"/>
  <c r="U32" i="19"/>
  <c r="N32" i="19"/>
  <c r="O32" i="19" s="1"/>
  <c r="P32" i="19" s="1"/>
  <c r="M32" i="19"/>
  <c r="H32" i="19"/>
  <c r="G32" i="19"/>
  <c r="AN31" i="19"/>
  <c r="AM31" i="19"/>
  <c r="AF31" i="19"/>
  <c r="AE31" i="19"/>
  <c r="AD31" i="19"/>
  <c r="H31" i="19"/>
  <c r="G31" i="19"/>
  <c r="AN30" i="19"/>
  <c r="AM30" i="19"/>
  <c r="AU30" i="19" s="1"/>
  <c r="P30" i="19"/>
  <c r="M30" i="19"/>
  <c r="AN29" i="19"/>
  <c r="AM29" i="19"/>
  <c r="AU29" i="19" s="1"/>
  <c r="J29" i="19"/>
  <c r="I29" i="19"/>
  <c r="F29" i="19"/>
  <c r="E29" i="19"/>
  <c r="AN28" i="19"/>
  <c r="AM28" i="19"/>
  <c r="AF28" i="19"/>
  <c r="AE28" i="19"/>
  <c r="AD28" i="19"/>
  <c r="U28" i="19"/>
  <c r="N28" i="19"/>
  <c r="O28" i="19" s="1"/>
  <c r="P28" i="19" s="1"/>
  <c r="M28" i="19"/>
  <c r="H28" i="19"/>
  <c r="G28" i="19"/>
  <c r="AN27" i="19"/>
  <c r="AM27" i="19"/>
  <c r="AF27" i="19"/>
  <c r="AE27" i="19"/>
  <c r="AD27" i="19"/>
  <c r="H27" i="19"/>
  <c r="G27" i="19"/>
  <c r="AN26" i="19"/>
  <c r="AM26" i="19"/>
  <c r="AF26" i="19"/>
  <c r="AE26" i="19"/>
  <c r="AD26" i="19"/>
  <c r="H26" i="19"/>
  <c r="G26" i="19"/>
  <c r="AU25" i="19"/>
  <c r="AT25" i="19"/>
  <c r="AO25" i="19"/>
  <c r="AN24" i="19"/>
  <c r="AM24" i="19"/>
  <c r="AU24" i="19" s="1"/>
  <c r="K24" i="19"/>
  <c r="F24" i="19"/>
  <c r="E24" i="19"/>
  <c r="AN23" i="19"/>
  <c r="AM23" i="19"/>
  <c r="AF23" i="19"/>
  <c r="AE23" i="19"/>
  <c r="AD23" i="19"/>
  <c r="M23" i="19"/>
  <c r="H23" i="19"/>
  <c r="G23" i="19"/>
  <c r="AN22" i="19"/>
  <c r="AM22" i="19"/>
  <c r="AF22" i="19"/>
  <c r="AE22" i="19"/>
  <c r="AD22" i="19"/>
  <c r="U22" i="19"/>
  <c r="I22" i="19"/>
  <c r="H22" i="19"/>
  <c r="G22" i="19"/>
  <c r="AN21" i="19"/>
  <c r="AM21" i="19"/>
  <c r="AF21" i="19"/>
  <c r="AE21" i="19"/>
  <c r="AD21" i="19"/>
  <c r="N21" i="19"/>
  <c r="M21" i="19"/>
  <c r="H21" i="19"/>
  <c r="G21" i="19"/>
  <c r="AN20" i="19"/>
  <c r="AM20" i="19"/>
  <c r="AF20" i="19"/>
  <c r="AE20" i="19"/>
  <c r="AD20" i="19"/>
  <c r="M20" i="19"/>
  <c r="H20" i="19"/>
  <c r="G20" i="19"/>
  <c r="AN19" i="19"/>
  <c r="AF19" i="19"/>
  <c r="AE19" i="19"/>
  <c r="AD19" i="19"/>
  <c r="M19" i="19"/>
  <c r="J19" i="19"/>
  <c r="J24" i="19" s="1"/>
  <c r="I19" i="19"/>
  <c r="H19" i="19"/>
  <c r="G19" i="19"/>
  <c r="AM17" i="19"/>
  <c r="AE17" i="19"/>
  <c r="AB17" i="19"/>
  <c r="C17" i="19"/>
  <c r="D17" i="19" s="1"/>
  <c r="E17" i="19" s="1"/>
  <c r="AH244" i="19" l="1"/>
  <c r="G228" i="19"/>
  <c r="AU235" i="19"/>
  <c r="G242" i="19"/>
  <c r="L239" i="19"/>
  <c r="L240" i="19"/>
  <c r="P65" i="19"/>
  <c r="M69" i="19"/>
  <c r="G76" i="19"/>
  <c r="I76" i="19"/>
  <c r="AU73" i="19"/>
  <c r="AU75" i="19"/>
  <c r="J88" i="19"/>
  <c r="AU90" i="19"/>
  <c r="L92" i="19"/>
  <c r="U85" i="19" s="1"/>
  <c r="L98" i="19"/>
  <c r="U98" i="19" s="1"/>
  <c r="AU98" i="19"/>
  <c r="L104" i="19"/>
  <c r="U104" i="19" s="1"/>
  <c r="AU104" i="19"/>
  <c r="H129" i="19"/>
  <c r="N69" i="19"/>
  <c r="O69" i="19" s="1"/>
  <c r="P69" i="19" s="1"/>
  <c r="I88" i="19"/>
  <c r="H156" i="19"/>
  <c r="L27" i="19"/>
  <c r="L87" i="19"/>
  <c r="U80" i="19" s="1"/>
  <c r="G141" i="19"/>
  <c r="L140" i="19"/>
  <c r="L159" i="19"/>
  <c r="U152" i="19" s="1"/>
  <c r="H206" i="19"/>
  <c r="M206" i="19"/>
  <c r="L216" i="19"/>
  <c r="M216" i="19"/>
  <c r="AN53" i="19"/>
  <c r="H76" i="19"/>
  <c r="J76" i="19"/>
  <c r="L32" i="19"/>
  <c r="AL244" i="19"/>
  <c r="L160" i="19"/>
  <c r="T153" i="19" s="1"/>
  <c r="S153" i="19" s="1"/>
  <c r="AF164" i="19"/>
  <c r="AF244" i="19" s="1"/>
  <c r="M176" i="19"/>
  <c r="M179" i="19" s="1"/>
  <c r="M183" i="19" s="1"/>
  <c r="J242" i="19"/>
  <c r="AU241" i="19"/>
  <c r="AG244" i="19"/>
  <c r="G71" i="19"/>
  <c r="L91" i="19"/>
  <c r="U84" i="19" s="1"/>
  <c r="L109" i="19"/>
  <c r="G206" i="19"/>
  <c r="AU204" i="19"/>
  <c r="N206" i="19"/>
  <c r="O206" i="19" s="1"/>
  <c r="P206" i="19" s="1"/>
  <c r="L215" i="19"/>
  <c r="L222" i="19"/>
  <c r="U215" i="19" s="1"/>
  <c r="G236" i="19"/>
  <c r="AU232" i="19"/>
  <c r="AE244" i="19"/>
  <c r="I24" i="19"/>
  <c r="L22" i="19"/>
  <c r="AU22" i="19"/>
  <c r="AU23" i="19"/>
  <c r="F56" i="19"/>
  <c r="L55" i="19"/>
  <c r="T48" i="19" s="1"/>
  <c r="S48" i="19" s="1"/>
  <c r="G191" i="19"/>
  <c r="AU27" i="19"/>
  <c r="L28" i="19"/>
  <c r="V22" i="19" s="1"/>
  <c r="N45" i="19"/>
  <c r="O45" i="19" s="1"/>
  <c r="P45" i="19" s="1"/>
  <c r="L48" i="19"/>
  <c r="L49" i="19"/>
  <c r="J116" i="19"/>
  <c r="L114" i="19"/>
  <c r="H166" i="19"/>
  <c r="L165" i="19"/>
  <c r="V158" i="19" s="1"/>
  <c r="AU172" i="19"/>
  <c r="AU188" i="19"/>
  <c r="L189" i="19"/>
  <c r="U182" i="19" s="1"/>
  <c r="L23" i="19"/>
  <c r="J38" i="19"/>
  <c r="H43" i="19"/>
  <c r="L75" i="19"/>
  <c r="M133" i="19"/>
  <c r="G136" i="19"/>
  <c r="L134" i="19"/>
  <c r="V127" i="19" s="1"/>
  <c r="G146" i="19"/>
  <c r="L144" i="19"/>
  <c r="U137" i="19" s="1"/>
  <c r="J151" i="19"/>
  <c r="AU150" i="19"/>
  <c r="L200" i="19"/>
  <c r="L227" i="19"/>
  <c r="V222" i="19" s="1"/>
  <c r="P230" i="19"/>
  <c r="L233" i="19"/>
  <c r="U233" i="19" s="1"/>
  <c r="W233" i="19" s="1"/>
  <c r="X233" i="19" s="1"/>
  <c r="Y233" i="19" s="1"/>
  <c r="G38" i="19"/>
  <c r="AU37" i="19"/>
  <c r="I43" i="19"/>
  <c r="AU40" i="19"/>
  <c r="L41" i="19"/>
  <c r="U41" i="19" s="1"/>
  <c r="L45" i="19"/>
  <c r="E56" i="19"/>
  <c r="E244" i="19" s="1"/>
  <c r="I116" i="19"/>
  <c r="G121" i="19"/>
  <c r="L120" i="19"/>
  <c r="U113" i="19" s="1"/>
  <c r="H141" i="19"/>
  <c r="L139" i="19"/>
  <c r="U132" i="19" s="1"/>
  <c r="G151" i="19"/>
  <c r="L177" i="19"/>
  <c r="U170" i="19" s="1"/>
  <c r="L178" i="19"/>
  <c r="U171" i="19" s="1"/>
  <c r="H197" i="19"/>
  <c r="AN193" i="19"/>
  <c r="L195" i="19"/>
  <c r="T188" i="19" s="1"/>
  <c r="S188" i="19" s="1"/>
  <c r="M199" i="19"/>
  <c r="G29" i="19"/>
  <c r="G34" i="19"/>
  <c r="H38" i="19"/>
  <c r="AU60" i="19"/>
  <c r="G67" i="19"/>
  <c r="H80" i="19"/>
  <c r="G116" i="19"/>
  <c r="L128" i="19"/>
  <c r="U122" i="19" s="1"/>
  <c r="L164" i="19"/>
  <c r="U157" i="19" s="1"/>
  <c r="G179" i="19"/>
  <c r="AU212" i="19"/>
  <c r="G217" i="19"/>
  <c r="AU227" i="19"/>
  <c r="H236" i="19"/>
  <c r="AU233" i="19"/>
  <c r="H242" i="19"/>
  <c r="AU238" i="19"/>
  <c r="AU239" i="19"/>
  <c r="AU32" i="19"/>
  <c r="AU36" i="19"/>
  <c r="J43" i="19"/>
  <c r="L61" i="19"/>
  <c r="S55" i="19" s="1"/>
  <c r="T55" i="19" s="1"/>
  <c r="H71" i="19"/>
  <c r="L74" i="19"/>
  <c r="U68" i="19" s="1"/>
  <c r="AU74" i="19"/>
  <c r="AU83" i="19"/>
  <c r="G88" i="19"/>
  <c r="G93" i="19"/>
  <c r="G105" i="19"/>
  <c r="AU101" i="19"/>
  <c r="H121" i="19"/>
  <c r="N133" i="19"/>
  <c r="H136" i="19"/>
  <c r="H146" i="19"/>
  <c r="L154" i="19"/>
  <c r="V148" i="19" s="1"/>
  <c r="M154" i="19"/>
  <c r="G161" i="19"/>
  <c r="L169" i="19"/>
  <c r="U162" i="19" s="1"/>
  <c r="AU185" i="19"/>
  <c r="L205" i="19"/>
  <c r="U205" i="19" s="1"/>
  <c r="G24" i="19"/>
  <c r="AU20" i="19"/>
  <c r="N237" i="19"/>
  <c r="O237" i="19" s="1"/>
  <c r="H29" i="19"/>
  <c r="M27" i="19"/>
  <c r="M237" i="19" s="1"/>
  <c r="P246" i="19" s="1"/>
  <c r="AU28" i="19"/>
  <c r="H34" i="19"/>
  <c r="I38" i="19"/>
  <c r="L37" i="19"/>
  <c r="U37" i="19" s="1"/>
  <c r="G43" i="19"/>
  <c r="AU41" i="19"/>
  <c r="L42" i="19"/>
  <c r="M53" i="19"/>
  <c r="L59" i="19"/>
  <c r="U52" i="19" s="1"/>
  <c r="H67" i="19"/>
  <c r="L65" i="19"/>
  <c r="U65" i="19" s="1"/>
  <c r="W65" i="19" s="1"/>
  <c r="X65" i="19" s="1"/>
  <c r="Y65" i="19" s="1"/>
  <c r="AU65" i="19"/>
  <c r="L79" i="19"/>
  <c r="G84" i="19"/>
  <c r="AU82" i="19"/>
  <c r="H88" i="19"/>
  <c r="AU87" i="19"/>
  <c r="H93" i="19"/>
  <c r="G99" i="19"/>
  <c r="H105" i="19"/>
  <c r="L102" i="19"/>
  <c r="U102" i="19" s="1"/>
  <c r="AU102" i="19"/>
  <c r="G111" i="19"/>
  <c r="AU107" i="19"/>
  <c r="H116" i="19"/>
  <c r="AU114" i="19"/>
  <c r="G125" i="19"/>
  <c r="G129" i="19"/>
  <c r="AU128" i="19"/>
  <c r="AQ129" i="19"/>
  <c r="L131" i="19"/>
  <c r="S125" i="19" s="1"/>
  <c r="AU133" i="19"/>
  <c r="AU134" i="19"/>
  <c r="L135" i="19"/>
  <c r="U130" i="19" s="1"/>
  <c r="AU135" i="19"/>
  <c r="L149" i="19"/>
  <c r="V143" i="19" s="1"/>
  <c r="G156" i="19"/>
  <c r="L155" i="19"/>
  <c r="H161" i="19"/>
  <c r="P163" i="19"/>
  <c r="H179" i="19"/>
  <c r="G183" i="19"/>
  <c r="H191" i="19"/>
  <c r="AU190" i="19"/>
  <c r="AU193" i="19"/>
  <c r="L194" i="19"/>
  <c r="U187" i="19" s="1"/>
  <c r="L196" i="19"/>
  <c r="V189" i="19" s="1"/>
  <c r="AU196" i="19"/>
  <c r="G202" i="19"/>
  <c r="L201" i="19"/>
  <c r="U201" i="19" s="1"/>
  <c r="AU201" i="19"/>
  <c r="AU208" i="19"/>
  <c r="H217" i="19"/>
  <c r="L219" i="19"/>
  <c r="G223" i="19"/>
  <c r="H228" i="19"/>
  <c r="L226" i="19"/>
  <c r="U219" i="19" s="1"/>
  <c r="P232" i="19"/>
  <c r="L234" i="19"/>
  <c r="AU234" i="19"/>
  <c r="I242" i="19"/>
  <c r="H24" i="19"/>
  <c r="AD244" i="19"/>
  <c r="L20" i="19"/>
  <c r="L21" i="19"/>
  <c r="AU21" i="19"/>
  <c r="AU26" i="19"/>
  <c r="AU31" i="19"/>
  <c r="L33" i="19"/>
  <c r="V26" i="19" s="1"/>
  <c r="AU33" i="19"/>
  <c r="N53" i="19"/>
  <c r="O53" i="19" s="1"/>
  <c r="P53" i="19" s="1"/>
  <c r="AN54" i="19"/>
  <c r="A244" i="19"/>
  <c r="AN60" i="19"/>
  <c r="L66" i="19"/>
  <c r="L70" i="19"/>
  <c r="H84" i="19"/>
  <c r="L83" i="19"/>
  <c r="U83" i="19" s="1"/>
  <c r="AU86" i="19"/>
  <c r="L95" i="19"/>
  <c r="T88" i="19" s="1"/>
  <c r="S88" i="19" s="1"/>
  <c r="L103" i="19"/>
  <c r="U97" i="19" s="1"/>
  <c r="AU103" i="19"/>
  <c r="H111" i="19"/>
  <c r="L108" i="19"/>
  <c r="U108" i="19" s="1"/>
  <c r="AU108" i="19"/>
  <c r="L110" i="19"/>
  <c r="AU110" i="19"/>
  <c r="L115" i="19"/>
  <c r="L119" i="19"/>
  <c r="U112" i="19" s="1"/>
  <c r="H125" i="19"/>
  <c r="L124" i="19"/>
  <c r="AU143" i="19"/>
  <c r="AU144" i="19"/>
  <c r="L145" i="19"/>
  <c r="V138" i="19" s="1"/>
  <c r="G166" i="19"/>
  <c r="AU176" i="19"/>
  <c r="H183" i="19"/>
  <c r="L182" i="19"/>
  <c r="AU189" i="19"/>
  <c r="L190" i="19"/>
  <c r="U184" i="19" s="1"/>
  <c r="G197" i="19"/>
  <c r="H202" i="19"/>
  <c r="AU205" i="19"/>
  <c r="L212" i="19"/>
  <c r="U212" i="19" s="1"/>
  <c r="AU214" i="19"/>
  <c r="H223" i="19"/>
  <c r="P227" i="19"/>
  <c r="L230" i="19"/>
  <c r="T223" i="19" s="1"/>
  <c r="S223" i="19" s="1"/>
  <c r="AU230" i="19"/>
  <c r="P233" i="19"/>
  <c r="L235" i="19"/>
  <c r="U228" i="19" s="1"/>
  <c r="AU240" i="19"/>
  <c r="L241" i="19"/>
  <c r="AS20" i="19"/>
  <c r="AT20" i="19" s="1"/>
  <c r="AS21" i="19"/>
  <c r="AT21" i="19" s="1"/>
  <c r="AS22" i="19"/>
  <c r="AT22" i="19" s="1"/>
  <c r="AS23" i="19"/>
  <c r="AT23" i="19" s="1"/>
  <c r="AS26" i="19"/>
  <c r="AT26" i="19" s="1"/>
  <c r="AS27" i="19"/>
  <c r="AT27" i="19" s="1"/>
  <c r="AS28" i="19"/>
  <c r="AT28" i="19" s="1"/>
  <c r="AS31" i="19"/>
  <c r="AT31" i="19" s="1"/>
  <c r="AS32" i="19"/>
  <c r="AT32" i="19" s="1"/>
  <c r="AS33" i="19"/>
  <c r="AT33" i="19" s="1"/>
  <c r="AS36" i="19"/>
  <c r="AT36" i="19" s="1"/>
  <c r="AS37" i="19"/>
  <c r="AT37" i="19" s="1"/>
  <c r="AS40" i="19"/>
  <c r="AT40" i="19" s="1"/>
  <c r="AS41" i="19"/>
  <c r="AT41" i="19" s="1"/>
  <c r="AS60" i="19"/>
  <c r="AT60" i="19" s="1"/>
  <c r="AS65" i="19"/>
  <c r="AS73" i="19"/>
  <c r="AT73" i="19" s="1"/>
  <c r="AS74" i="19"/>
  <c r="AS75" i="19"/>
  <c r="AT75" i="19" s="1"/>
  <c r="AS82" i="19"/>
  <c r="AT82" i="19" s="1"/>
  <c r="AS83" i="19"/>
  <c r="AT83" i="19" s="1"/>
  <c r="AS86" i="19"/>
  <c r="AT86" i="19" s="1"/>
  <c r="AS90" i="19"/>
  <c r="AT90" i="19" s="1"/>
  <c r="AS98" i="19"/>
  <c r="AS101" i="19"/>
  <c r="AT101" i="19" s="1"/>
  <c r="AS102" i="19"/>
  <c r="AS103" i="19"/>
  <c r="AT103" i="19" s="1"/>
  <c r="AS104" i="19"/>
  <c r="AT104" i="19" s="1"/>
  <c r="AS107" i="19"/>
  <c r="AT107" i="19" s="1"/>
  <c r="AS108" i="19"/>
  <c r="AP110" i="19"/>
  <c r="AR110" i="19" s="1"/>
  <c r="AS114" i="19"/>
  <c r="AS128" i="19"/>
  <c r="AT128" i="19" s="1"/>
  <c r="AS133" i="19"/>
  <c r="AT133" i="19" s="1"/>
  <c r="AS134" i="19"/>
  <c r="AT134" i="19" s="1"/>
  <c r="AS135" i="19"/>
  <c r="AT135" i="19" s="1"/>
  <c r="AS143" i="19"/>
  <c r="AT143" i="19" s="1"/>
  <c r="AS150" i="19"/>
  <c r="AT150" i="19" s="1"/>
  <c r="AS172" i="19"/>
  <c r="AT172" i="19" s="1"/>
  <c r="AS176" i="19"/>
  <c r="AT176" i="19" s="1"/>
  <c r="AS185" i="19"/>
  <c r="AS188" i="19"/>
  <c r="AT188" i="19" s="1"/>
  <c r="AS189" i="19"/>
  <c r="AT189" i="19" s="1"/>
  <c r="AS190" i="19"/>
  <c r="AT190" i="19" s="1"/>
  <c r="AS193" i="19"/>
  <c r="AT193" i="19" s="1"/>
  <c r="AS196" i="19"/>
  <c r="AS201" i="19"/>
  <c r="AT201" i="19" s="1"/>
  <c r="AS204" i="19"/>
  <c r="AT204" i="19" s="1"/>
  <c r="AS205" i="19"/>
  <c r="AT205" i="19" s="1"/>
  <c r="AS208" i="19"/>
  <c r="AT208" i="19" s="1"/>
  <c r="AS212" i="19"/>
  <c r="AT212" i="19" s="1"/>
  <c r="AS214" i="19"/>
  <c r="AS227" i="19"/>
  <c r="AS230" i="19"/>
  <c r="AT230" i="19" s="1"/>
  <c r="AS232" i="19"/>
  <c r="AT232" i="19" s="1"/>
  <c r="AS233" i="19"/>
  <c r="AT233" i="19" s="1"/>
  <c r="AS234" i="19"/>
  <c r="AT234" i="19" s="1"/>
  <c r="AS235" i="19"/>
  <c r="AT235" i="19" s="1"/>
  <c r="AS238" i="19"/>
  <c r="AT238" i="19" s="1"/>
  <c r="AS239" i="19"/>
  <c r="AT239" i="19" s="1"/>
  <c r="AS240" i="19"/>
  <c r="AT240" i="19" s="1"/>
  <c r="AS241" i="19"/>
  <c r="AT241" i="19" s="1"/>
  <c r="T22" i="19"/>
  <c r="S22" i="19" s="1"/>
  <c r="AU64" i="19"/>
  <c r="AO64" i="19"/>
  <c r="AS64" i="19"/>
  <c r="AT64" i="19" s="1"/>
  <c r="AP64" i="19"/>
  <c r="AQ64" i="19" s="1"/>
  <c r="V119" i="19"/>
  <c r="U159" i="19"/>
  <c r="AN17" i="19"/>
  <c r="L19" i="19"/>
  <c r="AM19" i="19"/>
  <c r="AO19" i="19" s="1"/>
  <c r="AO20" i="19"/>
  <c r="AP20" i="19"/>
  <c r="AQ20" i="19" s="1"/>
  <c r="O21" i="19"/>
  <c r="P21" i="19" s="1"/>
  <c r="P237" i="19" s="1"/>
  <c r="AO21" i="19"/>
  <c r="AP21" i="19"/>
  <c r="AO22" i="19"/>
  <c r="AP22" i="19"/>
  <c r="AQ22" i="19" s="1"/>
  <c r="AO23" i="19"/>
  <c r="AP23" i="19"/>
  <c r="AQ23" i="19" s="1"/>
  <c r="AO24" i="19"/>
  <c r="AP24" i="19"/>
  <c r="AT24" i="19"/>
  <c r="L26" i="19"/>
  <c r="AO26" i="19"/>
  <c r="AP26" i="19"/>
  <c r="AO27" i="19"/>
  <c r="AP27" i="19"/>
  <c r="AQ27" i="19" s="1"/>
  <c r="AO28" i="19"/>
  <c r="AP28" i="19"/>
  <c r="AQ28" i="19" s="1"/>
  <c r="AO29" i="19"/>
  <c r="AP29" i="19"/>
  <c r="AT29" i="19"/>
  <c r="AO30" i="19"/>
  <c r="AP30" i="19"/>
  <c r="AQ30" i="19" s="1"/>
  <c r="AT30" i="19"/>
  <c r="L31" i="19"/>
  <c r="AO31" i="19"/>
  <c r="AP31" i="19"/>
  <c r="AQ31" i="19" s="1"/>
  <c r="AO32" i="19"/>
  <c r="AP32" i="19"/>
  <c r="AO33" i="19"/>
  <c r="AP33" i="19"/>
  <c r="AO35" i="19"/>
  <c r="AP35" i="19"/>
  <c r="AQ35" i="19" s="1"/>
  <c r="AT35" i="19"/>
  <c r="L36" i="19"/>
  <c r="AO36" i="19"/>
  <c r="AP36" i="19"/>
  <c r="AQ36" i="19" s="1"/>
  <c r="AO37" i="19"/>
  <c r="AP37" i="19"/>
  <c r="AQ37" i="19" s="1"/>
  <c r="AO38" i="19"/>
  <c r="AP38" i="19"/>
  <c r="AT38" i="19"/>
  <c r="AO39" i="19"/>
  <c r="AP39" i="19"/>
  <c r="AQ39" i="19" s="1"/>
  <c r="AT39" i="19"/>
  <c r="L40" i="19"/>
  <c r="AO40" i="19"/>
  <c r="AP40" i="19"/>
  <c r="AQ40" i="19" s="1"/>
  <c r="AO41" i="19"/>
  <c r="AP41" i="19"/>
  <c r="AQ41" i="19" s="1"/>
  <c r="AM42" i="19"/>
  <c r="AO42" i="19" s="1"/>
  <c r="AO43" i="19"/>
  <c r="AP43" i="19"/>
  <c r="AT43" i="19"/>
  <c r="AO44" i="19"/>
  <c r="AP44" i="19"/>
  <c r="AQ44" i="19" s="1"/>
  <c r="AT44" i="19"/>
  <c r="AM45" i="19"/>
  <c r="AO45" i="19" s="1"/>
  <c r="AO46" i="19"/>
  <c r="AP46" i="19"/>
  <c r="AQ46" i="19" s="1"/>
  <c r="AT46" i="19"/>
  <c r="L47" i="19"/>
  <c r="AM47" i="19"/>
  <c r="AO47" i="19" s="1"/>
  <c r="AM48" i="19"/>
  <c r="AO48" i="19" s="1"/>
  <c r="AM49" i="19"/>
  <c r="AO49" i="19" s="1"/>
  <c r="AO50" i="19"/>
  <c r="AP50" i="19"/>
  <c r="AT50" i="19"/>
  <c r="AO51" i="19"/>
  <c r="AP51" i="19"/>
  <c r="AQ51" i="19" s="1"/>
  <c r="AT51" i="19"/>
  <c r="L52" i="19"/>
  <c r="AM52" i="19"/>
  <c r="AO52" i="19" s="1"/>
  <c r="G53" i="19"/>
  <c r="H53" i="19"/>
  <c r="AM53" i="19"/>
  <c r="AO53" i="19" s="1"/>
  <c r="H54" i="19"/>
  <c r="L54" i="19" s="1"/>
  <c r="AM54" i="19"/>
  <c r="AO54" i="19" s="1"/>
  <c r="AM55" i="19"/>
  <c r="AO55" i="19" s="1"/>
  <c r="AO56" i="19"/>
  <c r="AP56" i="19"/>
  <c r="AT56" i="19"/>
  <c r="AO57" i="19"/>
  <c r="AP57" i="19"/>
  <c r="AQ57" i="19" s="1"/>
  <c r="AT57" i="19"/>
  <c r="L58" i="19"/>
  <c r="AM58" i="19"/>
  <c r="AO58" i="19" s="1"/>
  <c r="AM59" i="19"/>
  <c r="AO59" i="19" s="1"/>
  <c r="G60" i="19"/>
  <c r="H60" i="19"/>
  <c r="H62" i="19" s="1"/>
  <c r="AO60" i="19"/>
  <c r="AP60" i="19"/>
  <c r="AR60" i="19" s="1"/>
  <c r="AM61" i="19"/>
  <c r="AO61" i="19" s="1"/>
  <c r="AO62" i="19"/>
  <c r="AP62" i="19"/>
  <c r="AT62" i="19"/>
  <c r="AO63" i="19"/>
  <c r="AP63" i="19"/>
  <c r="AQ63" i="19" s="1"/>
  <c r="AT63" i="19"/>
  <c r="L64" i="19"/>
  <c r="AO65" i="19"/>
  <c r="AP65" i="19"/>
  <c r="AQ65" i="19" s="1"/>
  <c r="AT65" i="19"/>
  <c r="AM66" i="19"/>
  <c r="AO66" i="19" s="1"/>
  <c r="AO67" i="19"/>
  <c r="AP67" i="19"/>
  <c r="AT67" i="19"/>
  <c r="AO68" i="19"/>
  <c r="AP68" i="19"/>
  <c r="AQ68" i="19" s="1"/>
  <c r="AT68" i="19"/>
  <c r="L69" i="19"/>
  <c r="AM69" i="19"/>
  <c r="AO69" i="19" s="1"/>
  <c r="AM70" i="19"/>
  <c r="AO70" i="19" s="1"/>
  <c r="AO71" i="19"/>
  <c r="AP71" i="19"/>
  <c r="AT71" i="19"/>
  <c r="AO72" i="19"/>
  <c r="AP72" i="19"/>
  <c r="AQ72" i="19" s="1"/>
  <c r="AT72" i="19"/>
  <c r="L73" i="19"/>
  <c r="AO73" i="19"/>
  <c r="AP73" i="19"/>
  <c r="AO74" i="19"/>
  <c r="AP74" i="19"/>
  <c r="AT74" i="19"/>
  <c r="AO75" i="19"/>
  <c r="AP75" i="19"/>
  <c r="AO76" i="19"/>
  <c r="AP76" i="19"/>
  <c r="AT76" i="19"/>
  <c r="AO77" i="19"/>
  <c r="AP77" i="19"/>
  <c r="AQ77" i="19" s="1"/>
  <c r="AT77" i="19"/>
  <c r="L78" i="19"/>
  <c r="AM78" i="19"/>
  <c r="AO78" i="19" s="1"/>
  <c r="AM79" i="19"/>
  <c r="AO79" i="19" s="1"/>
  <c r="AO80" i="19"/>
  <c r="AP80" i="19"/>
  <c r="AT80" i="19"/>
  <c r="AO81" i="19"/>
  <c r="AP81" i="19"/>
  <c r="AQ81" i="19" s="1"/>
  <c r="AT81" i="19"/>
  <c r="L82" i="19"/>
  <c r="AO82" i="19"/>
  <c r="AP82" i="19"/>
  <c r="AQ82" i="19" s="1"/>
  <c r="AO83" i="19"/>
  <c r="AP83" i="19"/>
  <c r="AQ83" i="19" s="1"/>
  <c r="AO84" i="19"/>
  <c r="AP84" i="19"/>
  <c r="AT84" i="19"/>
  <c r="AO85" i="19"/>
  <c r="AP85" i="19"/>
  <c r="AQ85" i="19" s="1"/>
  <c r="AT85" i="19"/>
  <c r="L86" i="19"/>
  <c r="AO86" i="19"/>
  <c r="AP86" i="19"/>
  <c r="AQ86" i="19" s="1"/>
  <c r="AO87" i="19"/>
  <c r="AP87" i="19"/>
  <c r="AQ87" i="19" s="1"/>
  <c r="AT87" i="19"/>
  <c r="AO88" i="19"/>
  <c r="AP88" i="19"/>
  <c r="AT88" i="19"/>
  <c r="AO89" i="19"/>
  <c r="AP89" i="19"/>
  <c r="AQ89" i="19" s="1"/>
  <c r="AT89" i="19"/>
  <c r="L90" i="19"/>
  <c r="AO90" i="19"/>
  <c r="AP90" i="19"/>
  <c r="AQ90" i="19" s="1"/>
  <c r="AM91" i="19"/>
  <c r="AO91" i="19" s="1"/>
  <c r="AM92" i="19"/>
  <c r="AO92" i="19" s="1"/>
  <c r="AM95" i="19"/>
  <c r="AO95" i="19" s="1"/>
  <c r="AO96" i="19"/>
  <c r="AP96" i="19"/>
  <c r="AT96" i="19"/>
  <c r="L97" i="19"/>
  <c r="AM97" i="19"/>
  <c r="AO97" i="19" s="1"/>
  <c r="AO98" i="19"/>
  <c r="AP98" i="19"/>
  <c r="AQ98" i="19" s="1"/>
  <c r="AT98" i="19"/>
  <c r="AO99" i="19"/>
  <c r="AP99" i="19"/>
  <c r="AR99" i="19" s="1"/>
  <c r="AT99" i="19"/>
  <c r="AO100" i="19"/>
  <c r="AP100" i="19"/>
  <c r="AT100" i="19"/>
  <c r="L101" i="19"/>
  <c r="AO101" i="19"/>
  <c r="AP101" i="19"/>
  <c r="AQ101" i="19" s="1"/>
  <c r="AO102" i="19"/>
  <c r="AP102" i="19"/>
  <c r="AQ102" i="19" s="1"/>
  <c r="AT102" i="19"/>
  <c r="AO103" i="19"/>
  <c r="AP103" i="19"/>
  <c r="AQ103" i="19" s="1"/>
  <c r="AO104" i="19"/>
  <c r="AP104" i="19"/>
  <c r="AQ104" i="19" s="1"/>
  <c r="AO105" i="19"/>
  <c r="AP105" i="19"/>
  <c r="AR105" i="19" s="1"/>
  <c r="AT105" i="19"/>
  <c r="AO106" i="19"/>
  <c r="AP106" i="19"/>
  <c r="AQ106" i="19" s="1"/>
  <c r="AT106" i="19"/>
  <c r="L107" i="19"/>
  <c r="AO107" i="19"/>
  <c r="AP107" i="19"/>
  <c r="AQ107" i="19" s="1"/>
  <c r="AO108" i="19"/>
  <c r="AP108" i="19"/>
  <c r="AQ108" i="19" s="1"/>
  <c r="AT108" i="19"/>
  <c r="AM109" i="19"/>
  <c r="AO109" i="19" s="1"/>
  <c r="AO110" i="19"/>
  <c r="AT110" i="19"/>
  <c r="AO111" i="19"/>
  <c r="AP111" i="19"/>
  <c r="AQ111" i="19" s="1"/>
  <c r="AT111" i="19"/>
  <c r="AO112" i="19"/>
  <c r="AP112" i="19"/>
  <c r="AQ112" i="19" s="1"/>
  <c r="AT112" i="19"/>
  <c r="L113" i="19"/>
  <c r="AM113" i="19"/>
  <c r="AO113" i="19" s="1"/>
  <c r="AO114" i="19"/>
  <c r="AP114" i="19"/>
  <c r="AQ114" i="19" s="1"/>
  <c r="AT114" i="19"/>
  <c r="AM115" i="19"/>
  <c r="AO115" i="19" s="1"/>
  <c r="AO116" i="19"/>
  <c r="AP116" i="19"/>
  <c r="AQ116" i="19" s="1"/>
  <c r="AT116" i="19"/>
  <c r="AO117" i="19"/>
  <c r="AP117" i="19"/>
  <c r="AQ117" i="19" s="1"/>
  <c r="AT117" i="19"/>
  <c r="L118" i="19"/>
  <c r="AM118" i="19"/>
  <c r="AO118" i="19" s="1"/>
  <c r="AM119" i="19"/>
  <c r="AO119" i="19" s="1"/>
  <c r="AM120" i="19"/>
  <c r="AO120" i="19" s="1"/>
  <c r="AO121" i="19"/>
  <c r="AP121" i="19"/>
  <c r="AQ121" i="19" s="1"/>
  <c r="AT121" i="19"/>
  <c r="AO122" i="19"/>
  <c r="AP122" i="19"/>
  <c r="AQ122" i="19" s="1"/>
  <c r="AT122" i="19"/>
  <c r="L123" i="19"/>
  <c r="AM123" i="19"/>
  <c r="AO123" i="19" s="1"/>
  <c r="AM124" i="19"/>
  <c r="AO124" i="19" s="1"/>
  <c r="AO125" i="19"/>
  <c r="AP125" i="19"/>
  <c r="AQ125" i="19" s="1"/>
  <c r="AT125" i="19"/>
  <c r="AO126" i="19"/>
  <c r="AP126" i="19"/>
  <c r="AQ126" i="19" s="1"/>
  <c r="AT126" i="19"/>
  <c r="L127" i="19"/>
  <c r="AM127" i="19"/>
  <c r="AO127" i="19" s="1"/>
  <c r="AO128" i="19"/>
  <c r="AP128" i="19"/>
  <c r="AO130" i="19"/>
  <c r="AP130" i="19"/>
  <c r="AQ130" i="19" s="1"/>
  <c r="AT130" i="19"/>
  <c r="O131" i="19"/>
  <c r="AM131" i="19"/>
  <c r="AO131" i="19" s="1"/>
  <c r="L133" i="19"/>
  <c r="AO133" i="19"/>
  <c r="AP133" i="19"/>
  <c r="AO134" i="19"/>
  <c r="AP134" i="19"/>
  <c r="AO135" i="19"/>
  <c r="AP135" i="19"/>
  <c r="AO136" i="19"/>
  <c r="AP136" i="19"/>
  <c r="AR136" i="19" s="1"/>
  <c r="AT136" i="19"/>
  <c r="AO137" i="19"/>
  <c r="AP137" i="19"/>
  <c r="AQ137" i="19" s="1"/>
  <c r="AT137" i="19"/>
  <c r="L138" i="19"/>
  <c r="AM138" i="19"/>
  <c r="AO138" i="19" s="1"/>
  <c r="AM139" i="19"/>
  <c r="AO139" i="19" s="1"/>
  <c r="AM140" i="19"/>
  <c r="AO140" i="19" s="1"/>
  <c r="AO141" i="19"/>
  <c r="AP141" i="19"/>
  <c r="AQ141" i="19" s="1"/>
  <c r="AT141" i="19"/>
  <c r="AO142" i="19"/>
  <c r="AP142" i="19"/>
  <c r="AQ142" i="19" s="1"/>
  <c r="AT142" i="19"/>
  <c r="L143" i="19"/>
  <c r="AO143" i="19"/>
  <c r="AP143" i="19"/>
  <c r="AO144" i="19"/>
  <c r="AP144" i="19"/>
  <c r="AT144" i="19"/>
  <c r="AM145" i="19"/>
  <c r="AO145" i="19" s="1"/>
  <c r="AQ147" i="19"/>
  <c r="L148" i="19"/>
  <c r="AM148" i="19"/>
  <c r="AO148" i="19" s="1"/>
  <c r="AO149" i="19"/>
  <c r="AP149" i="19"/>
  <c r="AQ149" i="19" s="1"/>
  <c r="AT149" i="19"/>
  <c r="H150" i="19"/>
  <c r="H151" i="19" s="1"/>
  <c r="AN150" i="19"/>
  <c r="AO150" i="19"/>
  <c r="AP150" i="19"/>
  <c r="AR150" i="19" s="1"/>
  <c r="AO151" i="19"/>
  <c r="AP151" i="19"/>
  <c r="AR151" i="19" s="1"/>
  <c r="AT151" i="19"/>
  <c r="AO152" i="19"/>
  <c r="AP152" i="19"/>
  <c r="AT152" i="19"/>
  <c r="L153" i="19"/>
  <c r="AM153" i="19"/>
  <c r="AO153" i="19" s="1"/>
  <c r="AM154" i="19"/>
  <c r="AO154" i="19" s="1"/>
  <c r="AM155" i="19"/>
  <c r="AO155" i="19" s="1"/>
  <c r="AO156" i="19"/>
  <c r="AP156" i="19"/>
  <c r="AR156" i="19" s="1"/>
  <c r="AT156" i="19"/>
  <c r="AO157" i="19"/>
  <c r="AP157" i="19"/>
  <c r="AT157" i="19"/>
  <c r="L158" i="19"/>
  <c r="AM158" i="19"/>
  <c r="AO158" i="19" s="1"/>
  <c r="AM159" i="19"/>
  <c r="AO159" i="19" s="1"/>
  <c r="AM160" i="19"/>
  <c r="AO160" i="19" s="1"/>
  <c r="AO161" i="19"/>
  <c r="AP161" i="19"/>
  <c r="AR161" i="19" s="1"/>
  <c r="AT161" i="19"/>
  <c r="AO162" i="19"/>
  <c r="AP162" i="19"/>
  <c r="AT162" i="19"/>
  <c r="L163" i="19"/>
  <c r="AM163" i="19"/>
  <c r="AO163" i="19" s="1"/>
  <c r="AP164" i="19"/>
  <c r="AU217" i="19"/>
  <c r="AT217" i="19"/>
  <c r="T222" i="19"/>
  <c r="S222" i="19" s="1"/>
  <c r="AM165" i="19"/>
  <c r="AO165" i="19" s="1"/>
  <c r="AO166" i="19"/>
  <c r="AP166" i="19"/>
  <c r="AR166" i="19" s="1"/>
  <c r="AT166" i="19"/>
  <c r="L168" i="19"/>
  <c r="AM168" i="19"/>
  <c r="AO168" i="19" s="1"/>
  <c r="AM169" i="19"/>
  <c r="AO169" i="19" s="1"/>
  <c r="AP170" i="19"/>
  <c r="AR170" i="19" s="1"/>
  <c r="AT170" i="19"/>
  <c r="AP171" i="19"/>
  <c r="AT171" i="19"/>
  <c r="L172" i="19"/>
  <c r="AO172" i="19"/>
  <c r="AP172" i="19"/>
  <c r="AQ172" i="19" s="1"/>
  <c r="AO173" i="19"/>
  <c r="AP173" i="19"/>
  <c r="AT173" i="19"/>
  <c r="AO174" i="19"/>
  <c r="AP174" i="19"/>
  <c r="AR174" i="19" s="1"/>
  <c r="AT174" i="19"/>
  <c r="AP175" i="19"/>
  <c r="AT175" i="19"/>
  <c r="L176" i="19"/>
  <c r="O176" i="19"/>
  <c r="AO176" i="19"/>
  <c r="AP176" i="19"/>
  <c r="AM177" i="19"/>
  <c r="AO177" i="19" s="1"/>
  <c r="AM178" i="19"/>
  <c r="AO178" i="19" s="1"/>
  <c r="N179" i="19"/>
  <c r="AP179" i="19"/>
  <c r="AR179" i="19" s="1"/>
  <c r="AT179" i="19"/>
  <c r="AP180" i="19"/>
  <c r="AT180" i="19"/>
  <c r="L181" i="19"/>
  <c r="L183" i="19" s="1"/>
  <c r="U176" i="19" s="1"/>
  <c r="AM181" i="19"/>
  <c r="AO181" i="19" s="1"/>
  <c r="AM182" i="19"/>
  <c r="AO182" i="19" s="1"/>
  <c r="AP183" i="19"/>
  <c r="AR183" i="19" s="1"/>
  <c r="AT183" i="19"/>
  <c r="AP184" i="19"/>
  <c r="AT184" i="19"/>
  <c r="L185" i="19"/>
  <c r="AO185" i="19"/>
  <c r="AP185" i="19"/>
  <c r="AQ185" i="19" s="1"/>
  <c r="AT185" i="19"/>
  <c r="L188" i="19"/>
  <c r="AO188" i="19"/>
  <c r="AP188" i="19"/>
  <c r="AQ188" i="19" s="1"/>
  <c r="AO189" i="19"/>
  <c r="AP189" i="19"/>
  <c r="AQ189" i="19" s="1"/>
  <c r="AO190" i="19"/>
  <c r="AP190" i="19"/>
  <c r="AQ190" i="19" s="1"/>
  <c r="AO191" i="19"/>
  <c r="AP191" i="19"/>
  <c r="AR191" i="19" s="1"/>
  <c r="AT191" i="19"/>
  <c r="L193" i="19"/>
  <c r="AO193" i="19"/>
  <c r="AP193" i="19"/>
  <c r="AM194" i="19"/>
  <c r="AO194" i="19" s="1"/>
  <c r="AM195" i="19"/>
  <c r="AO195" i="19" s="1"/>
  <c r="AO196" i="19"/>
  <c r="AP196" i="19"/>
  <c r="AQ196" i="19" s="1"/>
  <c r="AT196" i="19"/>
  <c r="AO197" i="19"/>
  <c r="AP197" i="19"/>
  <c r="AR197" i="19" s="1"/>
  <c r="AT197" i="19"/>
  <c r="AO198" i="19"/>
  <c r="AP198" i="19"/>
  <c r="AT198" i="19"/>
  <c r="L199" i="19"/>
  <c r="AM199" i="19"/>
  <c r="AO199" i="19" s="1"/>
  <c r="AM200" i="19"/>
  <c r="AO200" i="19" s="1"/>
  <c r="AO201" i="19"/>
  <c r="AP201" i="19"/>
  <c r="AQ201" i="19" s="1"/>
  <c r="AO202" i="19"/>
  <c r="AP202" i="19"/>
  <c r="AR202" i="19" s="1"/>
  <c r="AT202" i="19"/>
  <c r="AO203" i="19"/>
  <c r="AP203" i="19"/>
  <c r="AT203" i="19"/>
  <c r="L204" i="19"/>
  <c r="AO204" i="19"/>
  <c r="AP204" i="19"/>
  <c r="AQ204" i="19" s="1"/>
  <c r="AO205" i="19"/>
  <c r="AP205" i="19"/>
  <c r="AQ205" i="19" s="1"/>
  <c r="AO206" i="19"/>
  <c r="AP206" i="19"/>
  <c r="AR206" i="19" s="1"/>
  <c r="AT206" i="19"/>
  <c r="AO207" i="19"/>
  <c r="AP207" i="19"/>
  <c r="AT207" i="19"/>
  <c r="L208" i="19"/>
  <c r="AN208" i="19"/>
  <c r="AO208" i="19"/>
  <c r="AP208" i="19"/>
  <c r="AQ208" i="19" s="1"/>
  <c r="L209" i="19"/>
  <c r="U198" i="19" s="1"/>
  <c r="AO211" i="19"/>
  <c r="AP211" i="19"/>
  <c r="AT211" i="19"/>
  <c r="AO212" i="19"/>
  <c r="AP212" i="19"/>
  <c r="AQ212" i="19" s="1"/>
  <c r="AO213" i="19"/>
  <c r="AP213" i="19"/>
  <c r="AT213" i="19"/>
  <c r="L214" i="19"/>
  <c r="AO214" i="19"/>
  <c r="AP214" i="19"/>
  <c r="AQ214" i="19" s="1"/>
  <c r="AT214" i="19"/>
  <c r="AM215" i="19"/>
  <c r="AO215" i="19" s="1"/>
  <c r="AM216" i="19"/>
  <c r="AO216" i="19" s="1"/>
  <c r="AO217" i="19"/>
  <c r="AP217" i="19"/>
  <c r="F244" i="19"/>
  <c r="K244" i="19"/>
  <c r="AM219" i="19"/>
  <c r="AO219" i="19" s="1"/>
  <c r="L221" i="19"/>
  <c r="AM221" i="19"/>
  <c r="AO221" i="19" s="1"/>
  <c r="AM222" i="19"/>
  <c r="AO222" i="19" s="1"/>
  <c r="AO223" i="19"/>
  <c r="AP223" i="19"/>
  <c r="AR223" i="19" s="1"/>
  <c r="AT223" i="19"/>
  <c r="L225" i="19"/>
  <c r="AM225" i="19"/>
  <c r="AO225" i="19" s="1"/>
  <c r="AM226" i="19"/>
  <c r="AO226" i="19" s="1"/>
  <c r="AO227" i="19"/>
  <c r="AP227" i="19"/>
  <c r="AQ227" i="19" s="1"/>
  <c r="AT227" i="19"/>
  <c r="AO228" i="19"/>
  <c r="AP228" i="19"/>
  <c r="AR228" i="19" s="1"/>
  <c r="AT228" i="19"/>
  <c r="AO230" i="19"/>
  <c r="AP230" i="19"/>
  <c r="AQ230" i="19" s="1"/>
  <c r="L232" i="19"/>
  <c r="AO232" i="19"/>
  <c r="AP232" i="19"/>
  <c r="AQ232" i="19" s="1"/>
  <c r="AO233" i="19"/>
  <c r="AP233" i="19"/>
  <c r="AQ233" i="19" s="1"/>
  <c r="AO234" i="19"/>
  <c r="AP234" i="19"/>
  <c r="AQ234" i="19" s="1"/>
  <c r="AO235" i="19"/>
  <c r="AP235" i="19"/>
  <c r="AQ235" i="19" s="1"/>
  <c r="AO236" i="19"/>
  <c r="AP236" i="19"/>
  <c r="AR236" i="19" s="1"/>
  <c r="AT236" i="19"/>
  <c r="L238" i="19"/>
  <c r="AO238" i="19"/>
  <c r="AP238" i="19"/>
  <c r="AQ238" i="19" s="1"/>
  <c r="AO239" i="19"/>
  <c r="AP239" i="19"/>
  <c r="AQ239" i="19" s="1"/>
  <c r="AO240" i="19"/>
  <c r="AP240" i="19"/>
  <c r="AO241" i="19"/>
  <c r="AP241" i="19"/>
  <c r="AQ241" i="19" s="1"/>
  <c r="AO242" i="19"/>
  <c r="AP242" i="19"/>
  <c r="AR242" i="19" s="1"/>
  <c r="AT242" i="19"/>
  <c r="T143" i="19" l="1"/>
  <c r="S143" i="19" s="1"/>
  <c r="W48" i="19"/>
  <c r="U188" i="19"/>
  <c r="V188" i="19" s="1"/>
  <c r="V153" i="19"/>
  <c r="V48" i="19"/>
  <c r="J244" i="19"/>
  <c r="U196" i="19"/>
  <c r="U230" i="19"/>
  <c r="L50" i="19"/>
  <c r="V50" i="19" s="1"/>
  <c r="L29" i="19"/>
  <c r="T148" i="19"/>
  <c r="S148" i="19" s="1"/>
  <c r="U128" i="19"/>
  <c r="U21" i="19"/>
  <c r="I244" i="19"/>
  <c r="L223" i="19"/>
  <c r="U216" i="19" s="1"/>
  <c r="U220" i="19"/>
  <c r="U227" i="19"/>
  <c r="W227" i="19" s="1"/>
  <c r="X227" i="19" s="1"/>
  <c r="Y227" i="19" s="1"/>
  <c r="AO164" i="19"/>
  <c r="L80" i="19"/>
  <c r="V72" i="19" s="1"/>
  <c r="U71" i="19" s="1"/>
  <c r="L76" i="19"/>
  <c r="T189" i="19"/>
  <c r="S189" i="19" s="1"/>
  <c r="AT164" i="19"/>
  <c r="T127" i="19"/>
  <c r="S127" i="19" s="1"/>
  <c r="U87" i="19"/>
  <c r="U96" i="19"/>
  <c r="U103" i="19"/>
  <c r="U129" i="19"/>
  <c r="L136" i="19"/>
  <c r="L93" i="19"/>
  <c r="AU164" i="19"/>
  <c r="L38" i="19"/>
  <c r="T38" i="19" s="1"/>
  <c r="S38" i="19" s="1"/>
  <c r="T119" i="19"/>
  <c r="S119" i="19" s="1"/>
  <c r="AT249" i="19"/>
  <c r="AT250" i="19" s="1"/>
  <c r="L24" i="19"/>
  <c r="T138" i="19"/>
  <c r="S138" i="19" s="1"/>
  <c r="U124" i="19"/>
  <c r="L71" i="19"/>
  <c r="T158" i="19"/>
  <c r="S158" i="19" s="1"/>
  <c r="AQ150" i="19"/>
  <c r="L34" i="19"/>
  <c r="AU19" i="19"/>
  <c r="AQ110" i="19"/>
  <c r="T26" i="19"/>
  <c r="S26" i="19" s="1"/>
  <c r="AQ60" i="19"/>
  <c r="V60" i="19"/>
  <c r="U59" i="19"/>
  <c r="T60" i="19"/>
  <c r="S60" i="19" s="1"/>
  <c r="H56" i="19"/>
  <c r="H244" i="19" s="1"/>
  <c r="AR240" i="19"/>
  <c r="AQ240" i="19"/>
  <c r="L242" i="19"/>
  <c r="U231" i="19"/>
  <c r="L236" i="19"/>
  <c r="U232" i="19"/>
  <c r="AS226" i="19"/>
  <c r="AT226" i="19" s="1"/>
  <c r="AP226" i="19"/>
  <c r="AS225" i="19"/>
  <c r="AT225" i="19" s="1"/>
  <c r="AP225" i="19"/>
  <c r="L228" i="19"/>
  <c r="U218" i="19"/>
  <c r="AS222" i="19"/>
  <c r="AT222" i="19" s="1"/>
  <c r="AP222" i="19"/>
  <c r="AQ222" i="19" s="1"/>
  <c r="AS221" i="19"/>
  <c r="AT221" i="19" s="1"/>
  <c r="AP221" i="19"/>
  <c r="AS219" i="19"/>
  <c r="AT219" i="19" s="1"/>
  <c r="AP219" i="19"/>
  <c r="AS216" i="19"/>
  <c r="AT216" i="19" s="1"/>
  <c r="AP216" i="19"/>
  <c r="AS215" i="19"/>
  <c r="AT215" i="19" s="1"/>
  <c r="AP215" i="19"/>
  <c r="L217" i="19"/>
  <c r="U214" i="19"/>
  <c r="U207" i="19"/>
  <c r="AR213" i="19"/>
  <c r="AQ213" i="19"/>
  <c r="AR211" i="19"/>
  <c r="AQ211" i="19"/>
  <c r="L210" i="19"/>
  <c r="U206" i="19" s="1"/>
  <c r="U197" i="19"/>
  <c r="AR207" i="19"/>
  <c r="AQ207" i="19"/>
  <c r="L206" i="19"/>
  <c r="U199" i="19" s="1"/>
  <c r="U204" i="19"/>
  <c r="AR203" i="19"/>
  <c r="AQ203" i="19"/>
  <c r="AS200" i="19"/>
  <c r="AT200" i="19" s="1"/>
  <c r="AP200" i="19"/>
  <c r="AS199" i="19"/>
  <c r="AT199" i="19" s="1"/>
  <c r="AP199" i="19"/>
  <c r="L202" i="19"/>
  <c r="U192" i="19"/>
  <c r="AR198" i="19"/>
  <c r="AQ198" i="19"/>
  <c r="AS195" i="19"/>
  <c r="AT195" i="19" s="1"/>
  <c r="AP195" i="19"/>
  <c r="AS194" i="19"/>
  <c r="AT194" i="19" s="1"/>
  <c r="AP194" i="19"/>
  <c r="AR193" i="19"/>
  <c r="AQ193" i="19"/>
  <c r="L197" i="19"/>
  <c r="U186" i="19"/>
  <c r="L191" i="19"/>
  <c r="U181" i="19"/>
  <c r="L186" i="19"/>
  <c r="U174" i="19"/>
  <c r="AR184" i="19"/>
  <c r="AQ184" i="19"/>
  <c r="AS182" i="19"/>
  <c r="AT182" i="19" s="1"/>
  <c r="AP182" i="19"/>
  <c r="AS181" i="19"/>
  <c r="AT181" i="19" s="1"/>
  <c r="AP181" i="19"/>
  <c r="U179" i="19"/>
  <c r="AR180" i="19"/>
  <c r="AQ180" i="19"/>
  <c r="AS178" i="19"/>
  <c r="AT178" i="19" s="1"/>
  <c r="AP178" i="19"/>
  <c r="AS177" i="19"/>
  <c r="AT177" i="19" s="1"/>
  <c r="AP177" i="19"/>
  <c r="AR176" i="19"/>
  <c r="AQ176" i="19"/>
  <c r="O183" i="19"/>
  <c r="O179" i="19"/>
  <c r="P176" i="19"/>
  <c r="L179" i="19"/>
  <c r="V169" i="19"/>
  <c r="T169" i="19"/>
  <c r="S169" i="19" s="1"/>
  <c r="AR175" i="19"/>
  <c r="AQ175" i="19"/>
  <c r="AR173" i="19"/>
  <c r="AQ173" i="19"/>
  <c r="L174" i="19"/>
  <c r="U172" i="19"/>
  <c r="AR171" i="19"/>
  <c r="AQ171" i="19"/>
  <c r="AS169" i="19"/>
  <c r="AT169" i="19" s="1"/>
  <c r="AP169" i="19"/>
  <c r="AS168" i="19"/>
  <c r="AT168" i="19" s="1"/>
  <c r="AP168" i="19"/>
  <c r="L170" i="19"/>
  <c r="U161" i="19"/>
  <c r="AS165" i="19"/>
  <c r="AT165" i="19" s="1"/>
  <c r="AP165" i="19"/>
  <c r="W230" i="19"/>
  <c r="X230" i="19" s="1"/>
  <c r="Y230" i="19" s="1"/>
  <c r="AR164" i="19"/>
  <c r="AQ164" i="19"/>
  <c r="AS163" i="19"/>
  <c r="AT163" i="19" s="1"/>
  <c r="AP163" i="19"/>
  <c r="L166" i="19"/>
  <c r="U156" i="19"/>
  <c r="AR162" i="19"/>
  <c r="AQ162" i="19"/>
  <c r="AS160" i="19"/>
  <c r="AT160" i="19" s="1"/>
  <c r="AP160" i="19"/>
  <c r="AS159" i="19"/>
  <c r="AT159" i="19" s="1"/>
  <c r="AP159" i="19"/>
  <c r="AS158" i="19"/>
  <c r="AT158" i="19" s="1"/>
  <c r="AP158" i="19"/>
  <c r="L161" i="19"/>
  <c r="U154" i="19" s="1"/>
  <c r="U151" i="19"/>
  <c r="AR157" i="19"/>
  <c r="AQ157" i="19"/>
  <c r="AS155" i="19"/>
  <c r="AT155" i="19" s="1"/>
  <c r="AP155" i="19"/>
  <c r="AS154" i="19"/>
  <c r="AT154" i="19" s="1"/>
  <c r="AP154" i="19"/>
  <c r="AS153" i="19"/>
  <c r="AT153" i="19" s="1"/>
  <c r="AP153" i="19"/>
  <c r="L156" i="19"/>
  <c r="U147" i="19"/>
  <c r="AR152" i="19"/>
  <c r="AQ152" i="19"/>
  <c r="AS148" i="19"/>
  <c r="AT148" i="19" s="1"/>
  <c r="AP148" i="19"/>
  <c r="AS145" i="19"/>
  <c r="AT145" i="19" s="1"/>
  <c r="AP145" i="19"/>
  <c r="AR144" i="19"/>
  <c r="AQ144" i="19"/>
  <c r="AR143" i="19"/>
  <c r="AQ143" i="19"/>
  <c r="L146" i="19"/>
  <c r="U136" i="19"/>
  <c r="T136" i="19"/>
  <c r="AS140" i="19"/>
  <c r="AT140" i="19" s="1"/>
  <c r="AP140" i="19"/>
  <c r="AS139" i="19"/>
  <c r="AT139" i="19" s="1"/>
  <c r="AP139" i="19"/>
  <c r="AS138" i="19"/>
  <c r="AT138" i="19" s="1"/>
  <c r="AP138" i="19"/>
  <c r="L141" i="19"/>
  <c r="U131" i="19"/>
  <c r="U133" i="19" s="1"/>
  <c r="AR135" i="19"/>
  <c r="AQ135" i="19"/>
  <c r="AR134" i="19"/>
  <c r="AQ134" i="19"/>
  <c r="AR133" i="19"/>
  <c r="AQ133" i="19"/>
  <c r="AS131" i="19"/>
  <c r="AT131" i="19" s="1"/>
  <c r="AP131" i="19"/>
  <c r="O133" i="19"/>
  <c r="P131" i="19"/>
  <c r="P133" i="19" s="1"/>
  <c r="AR128" i="19"/>
  <c r="AQ128" i="19"/>
  <c r="AS127" i="19"/>
  <c r="AT127" i="19" s="1"/>
  <c r="AP127" i="19"/>
  <c r="L129" i="19"/>
  <c r="U121" i="19"/>
  <c r="AS124" i="19"/>
  <c r="AT124" i="19" s="1"/>
  <c r="AP124" i="19"/>
  <c r="AS123" i="19"/>
  <c r="AT123" i="19" s="1"/>
  <c r="AP123" i="19"/>
  <c r="L125" i="19"/>
  <c r="U116" i="19"/>
  <c r="AS120" i="19"/>
  <c r="AT120" i="19" s="1"/>
  <c r="AP120" i="19"/>
  <c r="AS119" i="19"/>
  <c r="AT119" i="19" s="1"/>
  <c r="AP119" i="19"/>
  <c r="AS118" i="19"/>
  <c r="AT118" i="19" s="1"/>
  <c r="AP118" i="19"/>
  <c r="L121" i="19"/>
  <c r="U114" i="19" s="1"/>
  <c r="U111" i="19"/>
  <c r="AS115" i="19"/>
  <c r="AT115" i="19" s="1"/>
  <c r="AP115" i="19"/>
  <c r="AS113" i="19"/>
  <c r="AT113" i="19" s="1"/>
  <c r="AP113" i="19"/>
  <c r="L116" i="19"/>
  <c r="U106" i="19"/>
  <c r="AS109" i="19"/>
  <c r="AT109" i="19" s="1"/>
  <c r="AP109" i="19"/>
  <c r="L111" i="19"/>
  <c r="U107" i="19"/>
  <c r="U100" i="19"/>
  <c r="L105" i="19"/>
  <c r="U101" i="19"/>
  <c r="U95" i="19"/>
  <c r="U94" i="19"/>
  <c r="AR100" i="19"/>
  <c r="AQ100" i="19"/>
  <c r="AS97" i="19"/>
  <c r="AT97" i="19" s="1"/>
  <c r="AP97" i="19"/>
  <c r="L99" i="19"/>
  <c r="U92" i="19" s="1"/>
  <c r="V91" i="19"/>
  <c r="T91" i="19"/>
  <c r="S91" i="19" s="1"/>
  <c r="AR96" i="19"/>
  <c r="AQ96" i="19"/>
  <c r="AS95" i="19"/>
  <c r="AT95" i="19" s="1"/>
  <c r="AP95" i="19"/>
  <c r="AS92" i="19"/>
  <c r="AT92" i="19" s="1"/>
  <c r="AP92" i="19"/>
  <c r="AS91" i="19"/>
  <c r="AT91" i="19" s="1"/>
  <c r="AP91" i="19"/>
  <c r="L88" i="19"/>
  <c r="U86" i="19"/>
  <c r="U79" i="19"/>
  <c r="L84" i="19"/>
  <c r="U82" i="19"/>
  <c r="V75" i="19"/>
  <c r="T75" i="19"/>
  <c r="S75" i="19" s="1"/>
  <c r="AS79" i="19"/>
  <c r="AT79" i="19" s="1"/>
  <c r="AP79" i="19"/>
  <c r="AS78" i="19"/>
  <c r="AT78" i="19" s="1"/>
  <c r="AP78" i="19"/>
  <c r="AR75" i="19"/>
  <c r="AQ75" i="19"/>
  <c r="AR74" i="19"/>
  <c r="AQ74" i="19"/>
  <c r="AR73" i="19"/>
  <c r="AQ73" i="19"/>
  <c r="AS70" i="19"/>
  <c r="AT70" i="19" s="1"/>
  <c r="AP70" i="19"/>
  <c r="AS69" i="19"/>
  <c r="AT69" i="19" s="1"/>
  <c r="AP69" i="19"/>
  <c r="AS66" i="19"/>
  <c r="AT66" i="19" s="1"/>
  <c r="AP66" i="19"/>
  <c r="L67" i="19"/>
  <c r="U64" i="19"/>
  <c r="AS61" i="19"/>
  <c r="AT61" i="19" s="1"/>
  <c r="AP61" i="19"/>
  <c r="AS59" i="19"/>
  <c r="AT59" i="19" s="1"/>
  <c r="AP59" i="19"/>
  <c r="AS58" i="19"/>
  <c r="AT58" i="19" s="1"/>
  <c r="AP58" i="19"/>
  <c r="AS55" i="19"/>
  <c r="AT55" i="19" s="1"/>
  <c r="AP55" i="19"/>
  <c r="AS54" i="19"/>
  <c r="AT54" i="19" s="1"/>
  <c r="AP54" i="19"/>
  <c r="AS53" i="19"/>
  <c r="AT53" i="19" s="1"/>
  <c r="AP53" i="19"/>
  <c r="AS52" i="19"/>
  <c r="AT52" i="19" s="1"/>
  <c r="AP52" i="19"/>
  <c r="AS49" i="19"/>
  <c r="AT49" i="19" s="1"/>
  <c r="AP49" i="19"/>
  <c r="AS48" i="19"/>
  <c r="AT48" i="19" s="1"/>
  <c r="AP48" i="19"/>
  <c r="AS47" i="19"/>
  <c r="AT47" i="19" s="1"/>
  <c r="AP47" i="19"/>
  <c r="AQ47" i="19" s="1"/>
  <c r="AS45" i="19"/>
  <c r="AT45" i="19" s="1"/>
  <c r="AP45" i="19"/>
  <c r="AQ45" i="19" s="1"/>
  <c r="AS42" i="19"/>
  <c r="AT42" i="19" s="1"/>
  <c r="AP42" i="19"/>
  <c r="AQ42" i="19" s="1"/>
  <c r="L43" i="19"/>
  <c r="U40" i="19"/>
  <c r="U33" i="19"/>
  <c r="AR33" i="19"/>
  <c r="AQ33" i="19"/>
  <c r="AR32" i="19"/>
  <c r="AQ32" i="19"/>
  <c r="V34" i="19"/>
  <c r="T34" i="19"/>
  <c r="S34" i="19" s="1"/>
  <c r="U27" i="19"/>
  <c r="AR26" i="19"/>
  <c r="AQ26" i="19"/>
  <c r="AR21" i="19"/>
  <c r="AQ21" i="19"/>
  <c r="AS19" i="19"/>
  <c r="AP19" i="19"/>
  <c r="V24" i="19"/>
  <c r="T24" i="19"/>
  <c r="S24" i="19" s="1"/>
  <c r="AN244" i="19"/>
  <c r="AO17" i="19"/>
  <c r="AQ228" i="19"/>
  <c r="AU226" i="19"/>
  <c r="AU225" i="19"/>
  <c r="AQ223" i="19"/>
  <c r="AU222" i="19"/>
  <c r="AU221" i="19"/>
  <c r="AU219" i="19"/>
  <c r="AU216" i="19"/>
  <c r="AU215" i="19"/>
  <c r="AQ202" i="19"/>
  <c r="AU200" i="19"/>
  <c r="AU199" i="19"/>
  <c r="AQ197" i="19"/>
  <c r="AU195" i="19"/>
  <c r="AU194" i="19"/>
  <c r="AQ191" i="19"/>
  <c r="AQ183" i="19"/>
  <c r="AU182" i="19"/>
  <c r="AU181" i="19"/>
  <c r="AQ179" i="19"/>
  <c r="AU178" i="19"/>
  <c r="AU177" i="19"/>
  <c r="AQ174" i="19"/>
  <c r="AQ170" i="19"/>
  <c r="AU169" i="19"/>
  <c r="AU168" i="19"/>
  <c r="AQ166" i="19"/>
  <c r="AU165" i="19"/>
  <c r="AU163" i="19"/>
  <c r="AQ161" i="19"/>
  <c r="AU160" i="19"/>
  <c r="AU159" i="19"/>
  <c r="AU158" i="19"/>
  <c r="AQ156" i="19"/>
  <c r="AU155" i="19"/>
  <c r="AU154" i="19"/>
  <c r="AU153" i="19"/>
  <c r="L150" i="19"/>
  <c r="U145" i="19" s="1"/>
  <c r="AQ151" i="19"/>
  <c r="AU148" i="19"/>
  <c r="AU145" i="19"/>
  <c r="AU140" i="19"/>
  <c r="AU139" i="19"/>
  <c r="AU138" i="19"/>
  <c r="AQ136" i="19"/>
  <c r="AU131" i="19"/>
  <c r="AU127" i="19"/>
  <c r="AU124" i="19"/>
  <c r="AU123" i="19"/>
  <c r="AU120" i="19"/>
  <c r="AU119" i="19"/>
  <c r="AU118" i="19"/>
  <c r="AU115" i="19"/>
  <c r="AU113" i="19"/>
  <c r="AU109" i="19"/>
  <c r="AQ105" i="19"/>
  <c r="AU97" i="19"/>
  <c r="AU95" i="19"/>
  <c r="AU92" i="19"/>
  <c r="AU91" i="19"/>
  <c r="AU79" i="19"/>
  <c r="AU78" i="19"/>
  <c r="AU70" i="19"/>
  <c r="AU69" i="19"/>
  <c r="AU66" i="19"/>
  <c r="L60" i="19"/>
  <c r="U53" i="19" s="1"/>
  <c r="L53" i="19"/>
  <c r="L56" i="19" s="1"/>
  <c r="AM244" i="19"/>
  <c r="AU61" i="19"/>
  <c r="AU59" i="19"/>
  <c r="AU58" i="19"/>
  <c r="G62" i="19"/>
  <c r="AU55" i="19"/>
  <c r="AU54" i="19"/>
  <c r="AU53" i="19"/>
  <c r="AU52" i="19"/>
  <c r="G56" i="19"/>
  <c r="AU49" i="19"/>
  <c r="AU48" i="19"/>
  <c r="AU47" i="19"/>
  <c r="AU45" i="19"/>
  <c r="AU42" i="19"/>
  <c r="V31" i="19" l="1"/>
  <c r="T50" i="19"/>
  <c r="S50" i="19" s="1"/>
  <c r="T72" i="19"/>
  <c r="S72" i="19" s="1"/>
  <c r="T69" i="19"/>
  <c r="S69" i="19" s="1"/>
  <c r="U73" i="19"/>
  <c r="V38" i="19"/>
  <c r="T31" i="19"/>
  <c r="S31" i="19" s="1"/>
  <c r="U45" i="19"/>
  <c r="V69" i="19"/>
  <c r="AU244" i="19"/>
  <c r="AU246" i="19" s="1"/>
  <c r="U183" i="19"/>
  <c r="L62" i="19"/>
  <c r="V62" i="19" s="1"/>
  <c r="V56" i="19"/>
  <c r="S56" i="19"/>
  <c r="AO244" i="19"/>
  <c r="AP17" i="19"/>
  <c r="AR19" i="19"/>
  <c r="AQ19" i="19"/>
  <c r="AS244" i="19"/>
  <c r="AT251" i="19" s="1"/>
  <c r="AT252" i="19" s="1"/>
  <c r="AT253" i="19" s="1"/>
  <c r="AT19" i="19"/>
  <c r="V43" i="19"/>
  <c r="T43" i="19"/>
  <c r="S43" i="19" s="1"/>
  <c r="AR48" i="19"/>
  <c r="AQ48" i="19"/>
  <c r="AR49" i="19"/>
  <c r="AQ49" i="19"/>
  <c r="AR52" i="19"/>
  <c r="AQ52" i="19"/>
  <c r="AR53" i="19"/>
  <c r="AQ53" i="19"/>
  <c r="AR54" i="19"/>
  <c r="AQ54" i="19"/>
  <c r="AR55" i="19"/>
  <c r="AQ55" i="19"/>
  <c r="AR58" i="19"/>
  <c r="AQ58" i="19"/>
  <c r="AR59" i="19"/>
  <c r="AQ59" i="19"/>
  <c r="AR61" i="19"/>
  <c r="AQ61" i="19"/>
  <c r="V67" i="19"/>
  <c r="T67" i="19"/>
  <c r="S67" i="19" s="1"/>
  <c r="AR66" i="19"/>
  <c r="AQ66" i="19"/>
  <c r="AR69" i="19"/>
  <c r="AQ69" i="19"/>
  <c r="AR70" i="19"/>
  <c r="AQ70" i="19"/>
  <c r="AR78" i="19"/>
  <c r="AQ78" i="19"/>
  <c r="AR79" i="19"/>
  <c r="AQ79" i="19"/>
  <c r="V76" i="19"/>
  <c r="T76" i="19"/>
  <c r="S76" i="19" s="1"/>
  <c r="V81" i="19"/>
  <c r="T81" i="19"/>
  <c r="S81" i="19" s="1"/>
  <c r="AR91" i="19"/>
  <c r="AQ91" i="19"/>
  <c r="AR92" i="19"/>
  <c r="AQ92" i="19"/>
  <c r="AR95" i="19"/>
  <c r="AQ95" i="19"/>
  <c r="AR97" i="19"/>
  <c r="AQ97" i="19"/>
  <c r="AR109" i="19"/>
  <c r="AQ109" i="19"/>
  <c r="V109" i="19"/>
  <c r="T109" i="19"/>
  <c r="S109" i="19" s="1"/>
  <c r="AR113" i="19"/>
  <c r="AQ113" i="19"/>
  <c r="AR115" i="19"/>
  <c r="AQ115" i="19"/>
  <c r="AR118" i="19"/>
  <c r="AQ118" i="19"/>
  <c r="AR119" i="19"/>
  <c r="AQ119" i="19"/>
  <c r="AR120" i="19"/>
  <c r="AQ120" i="19"/>
  <c r="AR123" i="19"/>
  <c r="AQ123" i="19"/>
  <c r="AR124" i="19"/>
  <c r="AQ124" i="19"/>
  <c r="AR127" i="19"/>
  <c r="AQ127" i="19"/>
  <c r="AR131" i="19"/>
  <c r="AQ131" i="19"/>
  <c r="AR138" i="19"/>
  <c r="AQ138" i="19"/>
  <c r="AR139" i="19"/>
  <c r="AQ139" i="19"/>
  <c r="AR140" i="19"/>
  <c r="AQ140" i="19"/>
  <c r="V141" i="19"/>
  <c r="T141" i="19"/>
  <c r="S141" i="19" s="1"/>
  <c r="AR145" i="19"/>
  <c r="AQ145" i="19"/>
  <c r="AR148" i="19"/>
  <c r="AQ148" i="19"/>
  <c r="AR153" i="19"/>
  <c r="AQ153" i="19"/>
  <c r="AR154" i="19"/>
  <c r="AQ154" i="19"/>
  <c r="AR155" i="19"/>
  <c r="AQ155" i="19"/>
  <c r="AR158" i="19"/>
  <c r="AQ158" i="19"/>
  <c r="AR159" i="19"/>
  <c r="AQ159" i="19"/>
  <c r="AR160" i="19"/>
  <c r="AQ160" i="19"/>
  <c r="AR163" i="19"/>
  <c r="AQ163" i="19"/>
  <c r="AR165" i="19"/>
  <c r="AQ165" i="19"/>
  <c r="V164" i="19"/>
  <c r="T164" i="19"/>
  <c r="S164" i="19" s="1"/>
  <c r="AR168" i="19"/>
  <c r="AQ168" i="19"/>
  <c r="AR169" i="19"/>
  <c r="AQ169" i="19"/>
  <c r="T167" i="19"/>
  <c r="S167" i="19" s="1"/>
  <c r="V167" i="19"/>
  <c r="P183" i="19"/>
  <c r="P179" i="19"/>
  <c r="AR177" i="19"/>
  <c r="AQ177" i="19"/>
  <c r="AR178" i="19"/>
  <c r="AQ178" i="19"/>
  <c r="AR181" i="19"/>
  <c r="AQ181" i="19"/>
  <c r="AR182" i="19"/>
  <c r="AQ182" i="19"/>
  <c r="AR194" i="19"/>
  <c r="AQ194" i="19"/>
  <c r="AR195" i="19"/>
  <c r="AQ195" i="19"/>
  <c r="AR199" i="19"/>
  <c r="AQ199" i="19"/>
  <c r="AR200" i="19"/>
  <c r="AQ200" i="19"/>
  <c r="V210" i="19"/>
  <c r="T210" i="19"/>
  <c r="S210" i="19" s="1"/>
  <c r="AR215" i="19"/>
  <c r="AQ215" i="19"/>
  <c r="AR216" i="19"/>
  <c r="AQ216" i="19"/>
  <c r="AR219" i="19"/>
  <c r="AQ219" i="19"/>
  <c r="AR221" i="19"/>
  <c r="AQ221" i="19"/>
  <c r="V221" i="19"/>
  <c r="T221" i="19"/>
  <c r="S221" i="19" s="1"/>
  <c r="AR225" i="19"/>
  <c r="AQ225" i="19"/>
  <c r="AR226" i="19"/>
  <c r="AQ226" i="19"/>
  <c r="W232" i="19"/>
  <c r="X232" i="19" s="1"/>
  <c r="Y232" i="19" s="1"/>
  <c r="V229" i="19"/>
  <c r="T229" i="19"/>
  <c r="S229" i="19" s="1"/>
  <c r="G244" i="19"/>
  <c r="L151" i="19"/>
  <c r="U49" i="19"/>
  <c r="L244" i="19" l="1"/>
  <c r="T237" i="19" s="1"/>
  <c r="T62" i="19"/>
  <c r="S62" i="19" s="1"/>
  <c r="S237" i="19" s="1"/>
  <c r="AT245" i="19"/>
  <c r="AT244" i="19"/>
  <c r="AT246" i="19" s="1"/>
  <c r="AP244" i="19"/>
  <c r="AQ17" i="19"/>
  <c r="AQ244" i="19" l="1"/>
  <c r="AR17" i="19"/>
  <c r="AR244" i="19" s="1"/>
  <c r="J110" i="18" l="1"/>
  <c r="D110" i="18"/>
  <c r="Q104" i="18"/>
  <c r="Q16" i="18" s="1"/>
  <c r="P104" i="18"/>
  <c r="P16" i="18" s="1"/>
  <c r="N104" i="18"/>
  <c r="N16" i="18" s="1"/>
  <c r="M104" i="18"/>
  <c r="M16" i="18" s="1"/>
  <c r="M103" i="18"/>
  <c r="M15" i="18" s="1"/>
  <c r="F84" i="18"/>
  <c r="D83" i="18"/>
  <c r="D82" i="18"/>
  <c r="D81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D72" i="18"/>
  <c r="F72" i="18" s="1"/>
  <c r="D71" i="18"/>
  <c r="F71" i="18" s="1"/>
  <c r="E70" i="18"/>
  <c r="D70" i="18"/>
  <c r="F68" i="18"/>
  <c r="J67" i="18"/>
  <c r="E67" i="18"/>
  <c r="D67" i="18"/>
  <c r="E66" i="18"/>
  <c r="D66" i="18"/>
  <c r="J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2" i="18"/>
  <c r="D52" i="18"/>
  <c r="E54" i="18"/>
  <c r="D54" i="18"/>
  <c r="J53" i="18"/>
  <c r="D53" i="18"/>
  <c r="E51" i="18"/>
  <c r="D51" i="18"/>
  <c r="E50" i="18"/>
  <c r="D50" i="18"/>
  <c r="E49" i="18"/>
  <c r="D49" i="18"/>
  <c r="E48" i="18"/>
  <c r="D48" i="18"/>
  <c r="J47" i="18"/>
  <c r="D47" i="18"/>
  <c r="D46" i="18"/>
  <c r="D45" i="18"/>
  <c r="U44" i="18"/>
  <c r="D43" i="18"/>
  <c r="D42" i="18"/>
  <c r="D41" i="18"/>
  <c r="F38" i="18"/>
  <c r="F36" i="18"/>
  <c r="E32" i="18"/>
  <c r="E31" i="18"/>
  <c r="E27" i="18"/>
  <c r="U26" i="18"/>
  <c r="U28" i="18" s="1"/>
  <c r="U30" i="18" s="1"/>
  <c r="E26" i="18"/>
  <c r="E25" i="18"/>
  <c r="E24" i="18"/>
  <c r="F20" i="18"/>
  <c r="F15" i="18" s="1"/>
  <c r="O17" i="18"/>
  <c r="L17" i="18"/>
  <c r="O16" i="18"/>
  <c r="L16" i="18"/>
  <c r="O15" i="18"/>
  <c r="F14" i="18"/>
  <c r="F10" i="18"/>
  <c r="F7" i="18"/>
  <c r="L1" i="18"/>
  <c r="F17" i="18" s="1"/>
  <c r="C1" i="18"/>
  <c r="F12" i="18" s="1"/>
  <c r="M105" i="18" l="1"/>
  <c r="M17" i="18" s="1"/>
  <c r="G68" i="18"/>
  <c r="N68" i="18" s="1"/>
  <c r="F66" i="18"/>
  <c r="G66" i="18" s="1"/>
  <c r="N66" i="18" s="1"/>
  <c r="F67" i="18"/>
  <c r="G67" i="18" s="1"/>
  <c r="F70" i="18"/>
  <c r="G70" i="18" s="1"/>
  <c r="N70" i="18" s="1"/>
  <c r="F113" i="18"/>
  <c r="F96" i="18"/>
  <c r="F95" i="18"/>
  <c r="F89" i="18"/>
  <c r="F85" i="18"/>
  <c r="F40" i="18"/>
  <c r="F39" i="18"/>
  <c r="F37" i="18"/>
  <c r="O114" i="18"/>
  <c r="O113" i="18"/>
  <c r="O110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R84" i="18" s="1"/>
  <c r="S84" i="18" s="1"/>
  <c r="O83" i="18"/>
  <c r="O82" i="18"/>
  <c r="O81" i="18"/>
  <c r="O80" i="18"/>
  <c r="O79" i="18"/>
  <c r="O78" i="18"/>
  <c r="O77" i="18"/>
  <c r="O76" i="18"/>
  <c r="O75" i="18"/>
  <c r="O74" i="18"/>
  <c r="O73" i="18"/>
  <c r="O72" i="18"/>
  <c r="R72" i="18" s="1"/>
  <c r="S72" i="18" s="1"/>
  <c r="O71" i="18"/>
  <c r="R71" i="18" s="1"/>
  <c r="S71" i="18" s="1"/>
  <c r="O70" i="18"/>
  <c r="R70" i="18" s="1"/>
  <c r="S70" i="18" s="1"/>
  <c r="O68" i="18"/>
  <c r="R68" i="18" s="1"/>
  <c r="S68" i="18" s="1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2" i="18"/>
  <c r="O54" i="18"/>
  <c r="O53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R38" i="18" s="1"/>
  <c r="S38" i="18" s="1"/>
  <c r="O37" i="18"/>
  <c r="O36" i="18"/>
  <c r="R36" i="18" s="1"/>
  <c r="S36" i="18" s="1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G71" i="18"/>
  <c r="N71" i="18" s="1"/>
  <c r="P71" i="18" s="1"/>
  <c r="Q71" i="18" s="1"/>
  <c r="G72" i="18"/>
  <c r="F8" i="18"/>
  <c r="G36" i="18"/>
  <c r="N36" i="18" s="1"/>
  <c r="G38" i="18"/>
  <c r="N38" i="18" s="1"/>
  <c r="P38" i="18" s="1"/>
  <c r="Q38" i="18" s="1"/>
  <c r="G84" i="18"/>
  <c r="N84" i="18" s="1"/>
  <c r="P36" i="18" l="1"/>
  <c r="Q36" i="18" s="1"/>
  <c r="P84" i="18"/>
  <c r="Q84" i="18" s="1"/>
  <c r="P68" i="18"/>
  <c r="Q68" i="18" s="1"/>
  <c r="R67" i="18"/>
  <c r="S67" i="18" s="1"/>
  <c r="P70" i="18"/>
  <c r="Q70" i="18" s="1"/>
  <c r="R66" i="18"/>
  <c r="S66" i="18" s="1"/>
  <c r="P66" i="18"/>
  <c r="Q66" i="18" s="1"/>
  <c r="F9" i="18"/>
  <c r="F83" i="18" s="1"/>
  <c r="K67" i="18"/>
  <c r="H67" i="18"/>
  <c r="I67" i="18" s="1"/>
  <c r="R37" i="18"/>
  <c r="S37" i="18" s="1"/>
  <c r="G37" i="18"/>
  <c r="N37" i="18" s="1"/>
  <c r="P37" i="18" s="1"/>
  <c r="Q37" i="18" s="1"/>
  <c r="R39" i="18"/>
  <c r="S39" i="18" s="1"/>
  <c r="G39" i="18"/>
  <c r="N39" i="18" s="1"/>
  <c r="P39" i="18" s="1"/>
  <c r="Q39" i="18" s="1"/>
  <c r="R40" i="18"/>
  <c r="S40" i="18" s="1"/>
  <c r="G40" i="18"/>
  <c r="N40" i="18" s="1"/>
  <c r="P40" i="18" s="1"/>
  <c r="Q40" i="18" s="1"/>
  <c r="R85" i="18"/>
  <c r="S85" i="18" s="1"/>
  <c r="G85" i="18"/>
  <c r="N85" i="18" s="1"/>
  <c r="P85" i="18" s="1"/>
  <c r="Q85" i="18" s="1"/>
  <c r="R89" i="18"/>
  <c r="S89" i="18" s="1"/>
  <c r="G89" i="18"/>
  <c r="N89" i="18" s="1"/>
  <c r="P89" i="18" s="1"/>
  <c r="Q89" i="18" s="1"/>
  <c r="R95" i="18"/>
  <c r="S95" i="18" s="1"/>
  <c r="G95" i="18"/>
  <c r="N95" i="18" s="1"/>
  <c r="P95" i="18" s="1"/>
  <c r="Q95" i="18" s="1"/>
  <c r="R96" i="18"/>
  <c r="S96" i="18" s="1"/>
  <c r="G96" i="18"/>
  <c r="N96" i="18" s="1"/>
  <c r="P96" i="18" s="1"/>
  <c r="Q96" i="18" s="1"/>
  <c r="R113" i="18"/>
  <c r="S113" i="18" s="1"/>
  <c r="G113" i="18"/>
  <c r="N113" i="18" s="1"/>
  <c r="P113" i="18" s="1"/>
  <c r="Q113" i="18" s="1"/>
  <c r="F42" i="18" l="1"/>
  <c r="G42" i="18" s="1"/>
  <c r="N42" i="18" s="1"/>
  <c r="P42" i="18" s="1"/>
  <c r="Q42" i="18" s="1"/>
  <c r="F46" i="18"/>
  <c r="R46" i="18" s="1"/>
  <c r="S46" i="18" s="1"/>
  <c r="F11" i="18"/>
  <c r="F102" i="18" s="1"/>
  <c r="F45" i="18"/>
  <c r="R45" i="18" s="1"/>
  <c r="S45" i="18" s="1"/>
  <c r="F52" i="18"/>
  <c r="R52" i="18" s="1"/>
  <c r="S52" i="18" s="1"/>
  <c r="F41" i="18"/>
  <c r="R41" i="18" s="1"/>
  <c r="S41" i="18" s="1"/>
  <c r="F47" i="18"/>
  <c r="R47" i="18" s="1"/>
  <c r="S47" i="18" s="1"/>
  <c r="F43" i="18"/>
  <c r="R43" i="18" s="1"/>
  <c r="S43" i="18" s="1"/>
  <c r="F51" i="18"/>
  <c r="U51" i="18" s="1"/>
  <c r="F44" i="18"/>
  <c r="R44" i="18" s="1"/>
  <c r="S44" i="18" s="1"/>
  <c r="F50" i="18"/>
  <c r="L50" i="18" s="1"/>
  <c r="N50" i="18" s="1"/>
  <c r="P50" i="18" s="1"/>
  <c r="Q50" i="18" s="1"/>
  <c r="F60" i="18"/>
  <c r="G60" i="18" s="1"/>
  <c r="N60" i="18" s="1"/>
  <c r="P60" i="18" s="1"/>
  <c r="Q60" i="18" s="1"/>
  <c r="F76" i="18"/>
  <c r="R76" i="18" s="1"/>
  <c r="S76" i="18" s="1"/>
  <c r="F56" i="18"/>
  <c r="G56" i="18" s="1"/>
  <c r="N56" i="18" s="1"/>
  <c r="P56" i="18" s="1"/>
  <c r="Q56" i="18" s="1"/>
  <c r="F63" i="18"/>
  <c r="G63" i="18" s="1"/>
  <c r="N63" i="18" s="1"/>
  <c r="P63" i="18" s="1"/>
  <c r="Q63" i="18" s="1"/>
  <c r="F49" i="18"/>
  <c r="R49" i="18" s="1"/>
  <c r="S49" i="18" s="1"/>
  <c r="F55" i="18"/>
  <c r="G55" i="18" s="1"/>
  <c r="N55" i="18" s="1"/>
  <c r="P55" i="18" s="1"/>
  <c r="Q55" i="18" s="1"/>
  <c r="F64" i="18"/>
  <c r="G64" i="18" s="1"/>
  <c r="N64" i="18" s="1"/>
  <c r="P64" i="18" s="1"/>
  <c r="Q64" i="18" s="1"/>
  <c r="F48" i="18"/>
  <c r="R48" i="18" s="1"/>
  <c r="S48" i="18" s="1"/>
  <c r="F53" i="18"/>
  <c r="G53" i="18" s="1"/>
  <c r="F59" i="18"/>
  <c r="R59" i="18" s="1"/>
  <c r="S59" i="18" s="1"/>
  <c r="F75" i="18"/>
  <c r="G75" i="18" s="1"/>
  <c r="N75" i="18" s="1"/>
  <c r="P75" i="18" s="1"/>
  <c r="Q75" i="18" s="1"/>
  <c r="F54" i="18"/>
  <c r="G54" i="18" s="1"/>
  <c r="N54" i="18" s="1"/>
  <c r="P54" i="18" s="1"/>
  <c r="Q54" i="18" s="1"/>
  <c r="F57" i="18"/>
  <c r="G57" i="18" s="1"/>
  <c r="N57" i="18" s="1"/>
  <c r="P57" i="18" s="1"/>
  <c r="Q57" i="18" s="1"/>
  <c r="F61" i="18"/>
  <c r="G61" i="18" s="1"/>
  <c r="N61" i="18" s="1"/>
  <c r="P61" i="18" s="1"/>
  <c r="Q61" i="18" s="1"/>
  <c r="F65" i="18"/>
  <c r="G65" i="18" s="1"/>
  <c r="F78" i="18"/>
  <c r="R78" i="18" s="1"/>
  <c r="S78" i="18" s="1"/>
  <c r="F58" i="18"/>
  <c r="G58" i="18" s="1"/>
  <c r="N58" i="18" s="1"/>
  <c r="P58" i="18" s="1"/>
  <c r="Q58" i="18" s="1"/>
  <c r="F62" i="18"/>
  <c r="G62" i="18" s="1"/>
  <c r="N62" i="18" s="1"/>
  <c r="P62" i="18" s="1"/>
  <c r="Q62" i="18" s="1"/>
  <c r="F74" i="18"/>
  <c r="G74" i="18" s="1"/>
  <c r="N74" i="18" s="1"/>
  <c r="P74" i="18" s="1"/>
  <c r="Q74" i="18" s="1"/>
  <c r="F110" i="18"/>
  <c r="G110" i="18" s="1"/>
  <c r="F79" i="18"/>
  <c r="G79" i="18" s="1"/>
  <c r="N79" i="18" s="1"/>
  <c r="P79" i="18" s="1"/>
  <c r="Q79" i="18" s="1"/>
  <c r="F80" i="18"/>
  <c r="R80" i="18" s="1"/>
  <c r="S80" i="18" s="1"/>
  <c r="F73" i="18"/>
  <c r="G73" i="18" s="1"/>
  <c r="N73" i="18" s="1"/>
  <c r="P73" i="18" s="1"/>
  <c r="Q73" i="18" s="1"/>
  <c r="F77" i="18"/>
  <c r="R77" i="18" s="1"/>
  <c r="S77" i="18" s="1"/>
  <c r="F81" i="18"/>
  <c r="G81" i="18" s="1"/>
  <c r="F82" i="18"/>
  <c r="L82" i="18" s="1"/>
  <c r="N67" i="18"/>
  <c r="P67" i="18" s="1"/>
  <c r="Q67" i="18" s="1"/>
  <c r="F114" i="18"/>
  <c r="G46" i="18"/>
  <c r="N46" i="18" s="1"/>
  <c r="P46" i="18" s="1"/>
  <c r="Q46" i="18" s="1"/>
  <c r="R83" i="18"/>
  <c r="S83" i="18" s="1"/>
  <c r="L83" i="18"/>
  <c r="G83" i="18"/>
  <c r="F26" i="18" l="1"/>
  <c r="R26" i="18" s="1"/>
  <c r="S26" i="18" s="1"/>
  <c r="F34" i="18"/>
  <c r="R34" i="18" s="1"/>
  <c r="S34" i="18" s="1"/>
  <c r="G52" i="18"/>
  <c r="N52" i="18" s="1"/>
  <c r="P52" i="18" s="1"/>
  <c r="Q52" i="18" s="1"/>
  <c r="R42" i="18"/>
  <c r="S42" i="18" s="1"/>
  <c r="F30" i="18"/>
  <c r="G30" i="18" s="1"/>
  <c r="N30" i="18" s="1"/>
  <c r="P30" i="18" s="1"/>
  <c r="Q30" i="18" s="1"/>
  <c r="F93" i="18"/>
  <c r="G93" i="18" s="1"/>
  <c r="N93" i="18" s="1"/>
  <c r="G77" i="18"/>
  <c r="N77" i="18" s="1"/>
  <c r="P77" i="18" s="1"/>
  <c r="Q77" i="18" s="1"/>
  <c r="G51" i="18"/>
  <c r="N51" i="18" s="1"/>
  <c r="P51" i="18" s="1"/>
  <c r="Q51" i="18" s="1"/>
  <c r="F88" i="18"/>
  <c r="R88" i="18" s="1"/>
  <c r="S88" i="18" s="1"/>
  <c r="F99" i="18"/>
  <c r="G99" i="18" s="1"/>
  <c r="N99" i="18" s="1"/>
  <c r="P99" i="18" s="1"/>
  <c r="Q99" i="18" s="1"/>
  <c r="G49" i="18"/>
  <c r="N49" i="18" s="1"/>
  <c r="P49" i="18" s="1"/>
  <c r="Q49" i="18" s="1"/>
  <c r="G43" i="18"/>
  <c r="N43" i="18" s="1"/>
  <c r="P43" i="18" s="1"/>
  <c r="Q43" i="18" s="1"/>
  <c r="R62" i="18"/>
  <c r="S62" i="18" s="1"/>
  <c r="R54" i="18"/>
  <c r="S54" i="18" s="1"/>
  <c r="R50" i="18"/>
  <c r="S50" i="18" s="1"/>
  <c r="G48" i="18"/>
  <c r="N48" i="18" s="1"/>
  <c r="P48" i="18" s="1"/>
  <c r="Q48" i="18" s="1"/>
  <c r="F24" i="18"/>
  <c r="G24" i="18" s="1"/>
  <c r="N24" i="18" s="1"/>
  <c r="P24" i="18" s="1"/>
  <c r="Q24" i="18" s="1"/>
  <c r="F28" i="18"/>
  <c r="G28" i="18" s="1"/>
  <c r="N28" i="18" s="1"/>
  <c r="P28" i="18" s="1"/>
  <c r="Q28" i="18" s="1"/>
  <c r="F32" i="18"/>
  <c r="G32" i="18" s="1"/>
  <c r="N32" i="18" s="1"/>
  <c r="P32" i="18" s="1"/>
  <c r="Q32" i="18" s="1"/>
  <c r="F86" i="18"/>
  <c r="R86" i="18" s="1"/>
  <c r="S86" i="18" s="1"/>
  <c r="F91" i="18"/>
  <c r="R91" i="18" s="1"/>
  <c r="S91" i="18" s="1"/>
  <c r="F97" i="18"/>
  <c r="G97" i="18" s="1"/>
  <c r="N97" i="18" s="1"/>
  <c r="P97" i="18" s="1"/>
  <c r="Q97" i="18" s="1"/>
  <c r="F101" i="18"/>
  <c r="R101" i="18" s="1"/>
  <c r="S101" i="18" s="1"/>
  <c r="R73" i="18"/>
  <c r="S73" i="18" s="1"/>
  <c r="R57" i="18"/>
  <c r="S57" i="18" s="1"/>
  <c r="G45" i="18"/>
  <c r="N45" i="18" s="1"/>
  <c r="P45" i="18" s="1"/>
  <c r="Q45" i="18" s="1"/>
  <c r="R81" i="18"/>
  <c r="S81" i="18" s="1"/>
  <c r="R75" i="18"/>
  <c r="S75" i="18" s="1"/>
  <c r="R65" i="18"/>
  <c r="S65" i="18" s="1"/>
  <c r="R60" i="18"/>
  <c r="S60" i="18" s="1"/>
  <c r="R53" i="18"/>
  <c r="S53" i="18" s="1"/>
  <c r="R82" i="18"/>
  <c r="S82" i="18" s="1"/>
  <c r="G80" i="18"/>
  <c r="G76" i="18"/>
  <c r="N76" i="18" s="1"/>
  <c r="P76" i="18" s="1"/>
  <c r="Q76" i="18" s="1"/>
  <c r="R63" i="18"/>
  <c r="S63" i="18" s="1"/>
  <c r="R55" i="18"/>
  <c r="S55" i="18" s="1"/>
  <c r="G50" i="18"/>
  <c r="G47" i="18"/>
  <c r="K47" i="18" s="1"/>
  <c r="F23" i="18"/>
  <c r="R23" i="18" s="1"/>
  <c r="S23" i="18" s="1"/>
  <c r="F25" i="18"/>
  <c r="R25" i="18" s="1"/>
  <c r="S25" i="18" s="1"/>
  <c r="F27" i="18"/>
  <c r="G27" i="18" s="1"/>
  <c r="N27" i="18" s="1"/>
  <c r="P27" i="18" s="1"/>
  <c r="Q27" i="18" s="1"/>
  <c r="F29" i="18"/>
  <c r="R29" i="18" s="1"/>
  <c r="S29" i="18" s="1"/>
  <c r="F31" i="18"/>
  <c r="R31" i="18" s="1"/>
  <c r="S31" i="18" s="1"/>
  <c r="F33" i="18"/>
  <c r="R33" i="18" s="1"/>
  <c r="S33" i="18" s="1"/>
  <c r="F35" i="18"/>
  <c r="G35" i="18" s="1"/>
  <c r="N35" i="18" s="1"/>
  <c r="P35" i="18" s="1"/>
  <c r="Q35" i="18" s="1"/>
  <c r="F87" i="18"/>
  <c r="R87" i="18" s="1"/>
  <c r="S87" i="18" s="1"/>
  <c r="F90" i="18"/>
  <c r="R90" i="18" s="1"/>
  <c r="S90" i="18" s="1"/>
  <c r="F92" i="18"/>
  <c r="R92" i="18" s="1"/>
  <c r="S92" i="18" s="1"/>
  <c r="F94" i="18"/>
  <c r="G94" i="18" s="1"/>
  <c r="F98" i="18"/>
  <c r="R98" i="18" s="1"/>
  <c r="S98" i="18" s="1"/>
  <c r="F100" i="18"/>
  <c r="R100" i="18" s="1"/>
  <c r="S100" i="18" s="1"/>
  <c r="G78" i="18"/>
  <c r="R61" i="18"/>
  <c r="S61" i="18" s="1"/>
  <c r="G59" i="18"/>
  <c r="N59" i="18" s="1"/>
  <c r="P59" i="18" s="1"/>
  <c r="Q59" i="18" s="1"/>
  <c r="R110" i="18"/>
  <c r="S110" i="18" s="1"/>
  <c r="G82" i="18"/>
  <c r="N82" i="18" s="1"/>
  <c r="P82" i="18" s="1"/>
  <c r="Q82" i="18" s="1"/>
  <c r="R51" i="18"/>
  <c r="S51" i="18" s="1"/>
  <c r="R79" i="18"/>
  <c r="S79" i="18" s="1"/>
  <c r="R74" i="18"/>
  <c r="S74" i="18" s="1"/>
  <c r="R64" i="18"/>
  <c r="S64" i="18" s="1"/>
  <c r="R58" i="18"/>
  <c r="S58" i="18" s="1"/>
  <c r="R56" i="18"/>
  <c r="S56" i="18" s="1"/>
  <c r="G44" i="18"/>
  <c r="N44" i="18" s="1"/>
  <c r="P44" i="18" s="1"/>
  <c r="Q44" i="18" s="1"/>
  <c r="G41" i="18"/>
  <c r="N41" i="18" s="1"/>
  <c r="P41" i="18" s="1"/>
  <c r="Q41" i="18" s="1"/>
  <c r="K110" i="18"/>
  <c r="H110" i="18"/>
  <c r="I110" i="18" s="1"/>
  <c r="K65" i="18"/>
  <c r="H65" i="18"/>
  <c r="I65" i="18" s="1"/>
  <c r="K53" i="18"/>
  <c r="H53" i="18"/>
  <c r="I53" i="18" s="1"/>
  <c r="R28" i="18"/>
  <c r="S28" i="18" s="1"/>
  <c r="G34" i="18"/>
  <c r="N34" i="18" s="1"/>
  <c r="P34" i="18" s="1"/>
  <c r="Q34" i="18" s="1"/>
  <c r="G86" i="18"/>
  <c r="R93" i="18"/>
  <c r="S93" i="18" s="1"/>
  <c r="R97" i="18"/>
  <c r="S97" i="18" s="1"/>
  <c r="R99" i="18"/>
  <c r="S99" i="18" s="1"/>
  <c r="R102" i="18"/>
  <c r="S102" i="18" s="1"/>
  <c r="G102" i="18"/>
  <c r="N102" i="18" s="1"/>
  <c r="P102" i="18" s="1"/>
  <c r="Q102" i="18" s="1"/>
  <c r="R114" i="18"/>
  <c r="S114" i="18" s="1"/>
  <c r="G114" i="18"/>
  <c r="N114" i="18" s="1"/>
  <c r="P114" i="18" s="1"/>
  <c r="Q114" i="18" s="1"/>
  <c r="R32" i="18" l="1"/>
  <c r="S32" i="18" s="1"/>
  <c r="R24" i="18"/>
  <c r="S24" i="18" s="1"/>
  <c r="G88" i="18"/>
  <c r="N88" i="18" s="1"/>
  <c r="P88" i="18" s="1"/>
  <c r="Q88" i="18" s="1"/>
  <c r="R30" i="18"/>
  <c r="S30" i="18" s="1"/>
  <c r="G26" i="18"/>
  <c r="N26" i="18" s="1"/>
  <c r="P26" i="18" s="1"/>
  <c r="Q26" i="18" s="1"/>
  <c r="G101" i="18"/>
  <c r="N101" i="18" s="1"/>
  <c r="P101" i="18" s="1"/>
  <c r="Q101" i="18" s="1"/>
  <c r="G91" i="18"/>
  <c r="N91" i="18" s="1"/>
  <c r="P91" i="18" s="1"/>
  <c r="Q91" i="18" s="1"/>
  <c r="G33" i="18"/>
  <c r="N33" i="18" s="1"/>
  <c r="P33" i="18" s="1"/>
  <c r="Q33" i="18" s="1"/>
  <c r="G92" i="18"/>
  <c r="N92" i="18" s="1"/>
  <c r="P92" i="18" s="1"/>
  <c r="Q92" i="18" s="1"/>
  <c r="G25" i="18"/>
  <c r="N25" i="18" s="1"/>
  <c r="P25" i="18" s="1"/>
  <c r="Q25" i="18" s="1"/>
  <c r="G98" i="18"/>
  <c r="G87" i="18"/>
  <c r="N87" i="18" s="1"/>
  <c r="P87" i="18" s="1"/>
  <c r="Q87" i="18" s="1"/>
  <c r="G29" i="18"/>
  <c r="N29" i="18" s="1"/>
  <c r="P29" i="18" s="1"/>
  <c r="Q29" i="18" s="1"/>
  <c r="H47" i="18"/>
  <c r="I47" i="18" s="1"/>
  <c r="G100" i="18"/>
  <c r="N100" i="18" s="1"/>
  <c r="P100" i="18" s="1"/>
  <c r="Q100" i="18" s="1"/>
  <c r="R94" i="18"/>
  <c r="S94" i="18" s="1"/>
  <c r="G90" i="18"/>
  <c r="N90" i="18" s="1"/>
  <c r="P90" i="18" s="1"/>
  <c r="Q90" i="18" s="1"/>
  <c r="R35" i="18"/>
  <c r="S35" i="18" s="1"/>
  <c r="G31" i="18"/>
  <c r="N31" i="18" s="1"/>
  <c r="P31" i="18" s="1"/>
  <c r="Q31" i="18" s="1"/>
  <c r="R27" i="18"/>
  <c r="S27" i="18" s="1"/>
  <c r="G23" i="18"/>
  <c r="N23" i="18" s="1"/>
  <c r="P23" i="18" s="1"/>
  <c r="N47" i="18"/>
  <c r="P47" i="18" s="1"/>
  <c r="Q47" i="18" s="1"/>
  <c r="N65" i="18"/>
  <c r="P65" i="18" s="1"/>
  <c r="Q65" i="18" s="1"/>
  <c r="N53" i="18"/>
  <c r="P53" i="18" s="1"/>
  <c r="Q53" i="18" s="1"/>
  <c r="N110" i="18"/>
  <c r="P110" i="18" s="1"/>
  <c r="Q110" i="18" s="1"/>
  <c r="K86" i="18"/>
  <c r="H86" i="18"/>
  <c r="I86" i="18" s="1"/>
  <c r="N86" i="18" l="1"/>
  <c r="P86" i="18" s="1"/>
  <c r="Q23" i="18"/>
  <c r="N103" i="18" l="1"/>
  <c r="N15" i="18" s="1"/>
  <c r="Q86" i="18"/>
  <c r="O1" i="18" s="1"/>
  <c r="P103" i="18"/>
  <c r="P105" i="18" s="1"/>
  <c r="P17" i="18" s="1"/>
  <c r="Q103" i="18"/>
  <c r="Q105" i="18" s="1"/>
  <c r="Q17" i="18" s="1"/>
  <c r="R17" i="18" s="1"/>
  <c r="N105" i="18" l="1"/>
  <c r="N17" i="18" s="1"/>
  <c r="P15" i="18"/>
  <c r="N1" i="18"/>
  <c r="Q15" i="18"/>
  <c r="D14" i="42" l="1"/>
  <c r="E14" i="42" s="1"/>
  <c r="E17" i="42" s="1"/>
  <c r="E18" i="42" s="1"/>
  <c r="C318" i="42" s="1"/>
  <c r="C337" i="42" s="1"/>
  <c r="D28" i="42"/>
  <c r="E28" i="42" s="1"/>
  <c r="E31" i="42" s="1"/>
  <c r="E32" i="42" s="1"/>
  <c r="C319" i="42" s="1"/>
  <c r="G32" i="42" l="1"/>
  <c r="H32" i="42" s="1"/>
  <c r="G18" i="42" l="1"/>
  <c r="H18" i="42" s="1"/>
</calcChain>
</file>

<file path=xl/comments1.xml><?xml version="1.0" encoding="utf-8"?>
<comments xmlns="http://schemas.openxmlformats.org/spreadsheetml/2006/main">
  <authors>
    <author>Анатолий</author>
    <author>SamLab.ws</author>
  </authors>
  <commentLis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На посаду начальника бюро</t>
        </r>
      </text>
    </comment>
    <comment ref="E28" authorId="1">
      <text>
        <r>
          <rPr>
            <b/>
            <sz val="8"/>
            <color indexed="81"/>
            <rFont val="Tahoma"/>
            <family val="2"/>
            <charset val="204"/>
          </rPr>
          <t>SamLab.ws:</t>
        </r>
        <r>
          <rPr>
            <sz val="8"/>
            <color indexed="81"/>
            <rFont val="Tahoma"/>
            <family val="2"/>
            <charset val="204"/>
          </rPr>
          <t xml:space="preserve">
1,8-2,2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1,8-2,2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1,7-2,0</t>
        </r>
      </text>
    </comment>
    <comment ref="E35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1,7-2,0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E37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E38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M47" authorId="1">
      <text>
        <r>
          <rPr>
            <b/>
            <sz val="8"/>
            <color indexed="81"/>
            <rFont val="Tahoma"/>
            <family val="2"/>
            <charset val="204"/>
          </rPr>
          <t>SamLab.ws:</t>
        </r>
        <r>
          <rPr>
            <sz val="8"/>
            <color indexed="81"/>
            <rFont val="Tahoma"/>
            <family val="2"/>
            <charset val="204"/>
          </rPr>
          <t xml:space="preserve">
Аварійна</t>
        </r>
      </text>
    </comment>
    <comment ref="M65" authorId="1">
      <text>
        <r>
          <rPr>
            <b/>
            <sz val="8"/>
            <color indexed="81"/>
            <rFont val="Tahoma"/>
            <family val="2"/>
            <charset val="204"/>
          </rPr>
          <t>SamLab.ws:</t>
        </r>
        <r>
          <rPr>
            <sz val="8"/>
            <color indexed="81"/>
            <rFont val="Tahoma"/>
            <family val="2"/>
            <charset val="204"/>
          </rPr>
          <t xml:space="preserve">
Аварійна</t>
        </r>
      </text>
    </comment>
    <comment ref="M110" authorId="1">
      <text>
        <r>
          <rPr>
            <b/>
            <sz val="8"/>
            <color indexed="81"/>
            <rFont val="Tahoma"/>
            <family val="2"/>
            <charset val="204"/>
          </rPr>
          <t>SamLab.ws:</t>
        </r>
        <r>
          <rPr>
            <sz val="8"/>
            <color indexed="81"/>
            <rFont val="Tahoma"/>
            <family val="2"/>
            <charset val="204"/>
          </rPr>
          <t xml:space="preserve">
Аварійна</t>
        </r>
      </text>
    </comment>
    <comment ref="E113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1,2-1,7</t>
        </r>
      </text>
    </comment>
    <comment ref="E114" authorId="0">
      <text>
        <r>
          <rPr>
            <b/>
            <sz val="8"/>
            <color indexed="81"/>
            <rFont val="Tahoma"/>
            <family val="2"/>
            <charset val="204"/>
          </rPr>
          <t>Анатолий:</t>
        </r>
        <r>
          <rPr>
            <sz val="8"/>
            <color indexed="81"/>
            <rFont val="Tahoma"/>
            <family val="2"/>
            <charset val="204"/>
          </rPr>
          <t xml:space="preserve">
1,7-2,0</t>
        </r>
      </text>
    </comment>
  </commentList>
</comments>
</file>

<file path=xl/sharedStrings.xml><?xml version="1.0" encoding="utf-8"?>
<sst xmlns="http://schemas.openxmlformats.org/spreadsheetml/2006/main" count="2093" uniqueCount="1086">
  <si>
    <t>869.16 витрати з обслуговування димовентиляційних каналів</t>
  </si>
  <si>
    <t xml:space="preserve"> </t>
  </si>
  <si>
    <t>№ п/п</t>
  </si>
  <si>
    <t>Адреса будинку</t>
  </si>
  <si>
    <t>Загальна площа будинку, м.кв.</t>
  </si>
  <si>
    <t>Професія</t>
  </si>
  <si>
    <t>Заробітна плата грн.</t>
  </si>
  <si>
    <t>назва професії</t>
  </si>
  <si>
    <t>розряд праців ників</t>
  </si>
  <si>
    <t>оклад 1 праців ника</t>
  </si>
  <si>
    <t>основна зарплата праців ників</t>
  </si>
  <si>
    <t>шкідли вість</t>
  </si>
  <si>
    <t>додат кова оплата (премія)</t>
  </si>
  <si>
    <t>нічні, святкові</t>
  </si>
  <si>
    <t>всього</t>
  </si>
  <si>
    <t>-</t>
  </si>
  <si>
    <t>0.0</t>
  </si>
  <si>
    <t xml:space="preserve"> - Вся заробітна плата, грн.</t>
  </si>
  <si>
    <t xml:space="preserve"> - Накладні витрати (65.00 %), грн.</t>
  </si>
  <si>
    <t xml:space="preserve"> - Обовязкові платежі до бюджету, грн.</t>
  </si>
  <si>
    <t xml:space="preserve"> - Загальна площа на яку надається послуга, кв.м</t>
  </si>
  <si>
    <t xml:space="preserve"> - Собівартість послуги на 1 кв.м</t>
  </si>
  <si>
    <t>Перелік робіт</t>
  </si>
  <si>
    <t>Одиниця виміру</t>
  </si>
  <si>
    <t>Вихідні дані</t>
  </si>
  <si>
    <t>0.0000</t>
  </si>
  <si>
    <t xml:space="preserve"> - Нарахування на зарплату (36.77 %), грн.</t>
  </si>
  <si>
    <t>Кількість працівників</t>
  </si>
  <si>
    <t>Всього</t>
  </si>
  <si>
    <t>IV</t>
  </si>
  <si>
    <t xml:space="preserve"> - Матеріали, грн.</t>
  </si>
  <si>
    <t>Розрахунок чисельності пічників</t>
  </si>
  <si>
    <t>Кількість опалювальних печей і домашніх вогнищ(включаючи димові канали)</t>
  </si>
  <si>
    <t>Нормативна кількість працівників на обслуговування опалювальних печей і домашніх вогнищ(включаючи димові канали)</t>
  </si>
  <si>
    <t>Кількість вентиляційних каналів і каналів для відведення продуктів згоряння газу в нагрівальних приладах і газифікованих печах</t>
  </si>
  <si>
    <t>Нормативна кількість працівників на обслуговування вентиляційних каналів і каналів для відведення продуктів згоряння газу в нагрівальних приладах і газифікованих печах</t>
  </si>
  <si>
    <t>Всього працівників:</t>
  </si>
  <si>
    <t>'пічник' IV</t>
  </si>
  <si>
    <t>№ з/п</t>
  </si>
  <si>
    <t>№ пп</t>
  </si>
  <si>
    <t>Клас території</t>
  </si>
  <si>
    <t>х</t>
  </si>
  <si>
    <t>2</t>
  </si>
  <si>
    <t>1</t>
  </si>
  <si>
    <t>1106.9А</t>
  </si>
  <si>
    <t>3</t>
  </si>
  <si>
    <t>1106.13А</t>
  </si>
  <si>
    <t>1106.13Б</t>
  </si>
  <si>
    <t>1106.15А</t>
  </si>
  <si>
    <t>1106.15Б</t>
  </si>
  <si>
    <t>1106.17</t>
  </si>
  <si>
    <t>1106.25</t>
  </si>
  <si>
    <t>1106.28</t>
  </si>
  <si>
    <t>8</t>
  </si>
  <si>
    <t>4</t>
  </si>
  <si>
    <t>6</t>
  </si>
  <si>
    <t>5</t>
  </si>
  <si>
    <t>350-2</t>
  </si>
  <si>
    <t>66-6</t>
  </si>
  <si>
    <t>66-8</t>
  </si>
  <si>
    <t>66-12</t>
  </si>
  <si>
    <t>66-15</t>
  </si>
  <si>
    <t>66-16</t>
  </si>
  <si>
    <t>66-18</t>
  </si>
  <si>
    <t>66-20</t>
  </si>
  <si>
    <t>66-22</t>
  </si>
  <si>
    <t>66-24</t>
  </si>
  <si>
    <t>66-26</t>
  </si>
  <si>
    <t>74-52</t>
  </si>
  <si>
    <t>74-52а</t>
  </si>
  <si>
    <t>74-54</t>
  </si>
  <si>
    <t>106-2б</t>
  </si>
  <si>
    <t>106-6</t>
  </si>
  <si>
    <t>106-8</t>
  </si>
  <si>
    <t>106-9а</t>
  </si>
  <si>
    <t>106-13</t>
  </si>
  <si>
    <t>106-13а</t>
  </si>
  <si>
    <t>106-13б</t>
  </si>
  <si>
    <t>106-15а</t>
  </si>
  <si>
    <t>106-15б</t>
  </si>
  <si>
    <t>106-17</t>
  </si>
  <si>
    <t>106-25</t>
  </si>
  <si>
    <t>169-10</t>
  </si>
  <si>
    <t>170-31</t>
  </si>
  <si>
    <t>164-3а</t>
  </si>
  <si>
    <t>164-3в</t>
  </si>
  <si>
    <t>164-9</t>
  </si>
  <si>
    <t>164-14</t>
  </si>
  <si>
    <t>164-16</t>
  </si>
  <si>
    <t>164-18</t>
  </si>
  <si>
    <t>465-6а</t>
  </si>
  <si>
    <t>465-17а</t>
  </si>
  <si>
    <t>198-15</t>
  </si>
  <si>
    <t>433-83</t>
  </si>
  <si>
    <t>433-81</t>
  </si>
  <si>
    <t>272-2</t>
  </si>
  <si>
    <t>272-7а</t>
  </si>
  <si>
    <t>272-11</t>
  </si>
  <si>
    <t>272-15а</t>
  </si>
  <si>
    <t>158-6</t>
  </si>
  <si>
    <t>285-2</t>
  </si>
  <si>
    <t>285-3</t>
  </si>
  <si>
    <t>285-7а</t>
  </si>
  <si>
    <t>318-10</t>
  </si>
  <si>
    <t>318-10а</t>
  </si>
  <si>
    <t>318-12</t>
  </si>
  <si>
    <t>Кількість</t>
  </si>
  <si>
    <t>Врахування галузевої угоди: 1- так; 0 - ні (2010 рік = 1,2)</t>
  </si>
  <si>
    <t>Премія</t>
  </si>
  <si>
    <t>п. 3.1.3 ГУ</t>
  </si>
  <si>
    <t xml:space="preserve">Розрахунок витрат по оплаті праці </t>
  </si>
  <si>
    <t>Мінімальна заробітна плата</t>
  </si>
  <si>
    <t>Єдина тарифна сітка</t>
  </si>
  <si>
    <t>Варіант</t>
  </si>
  <si>
    <t>1-0</t>
  </si>
  <si>
    <t>Попередній розмір мін.з.п.</t>
  </si>
  <si>
    <t>Розряд</t>
  </si>
  <si>
    <t>Міжрозрядний коефіцієнт</t>
  </si>
  <si>
    <t>Коефіцієнт збільшення до попереднього розміру мін.з.п.</t>
  </si>
  <si>
    <t>Коефіцієнт до мінімальної. з.п. згідно галузевої угоди</t>
  </si>
  <si>
    <t>Мінімальна тарифна ставка робітника 1 розряду</t>
  </si>
  <si>
    <r>
      <t xml:space="preserve">п.1 </t>
    </r>
    <r>
      <rPr>
        <vertAlign val="superscript"/>
        <sz val="8"/>
        <rFont val="Calibri"/>
        <family val="2"/>
        <charset val="204"/>
        <scheme val="minor"/>
      </rPr>
      <t>х</t>
    </r>
    <r>
      <rPr>
        <sz val="10"/>
        <rFont val="Calibri"/>
        <family val="2"/>
        <charset val="204"/>
        <scheme val="minor"/>
      </rPr>
      <t xml:space="preserve"> п.2</t>
    </r>
  </si>
  <si>
    <t>Коефіцієнт відповідно до тариф.сітки, робітника І розряду</t>
  </si>
  <si>
    <t>Посадовий оклад робітника І розряду</t>
  </si>
  <si>
    <r>
      <t xml:space="preserve">п.3 </t>
    </r>
    <r>
      <rPr>
        <vertAlign val="superscript"/>
        <sz val="8"/>
        <rFont val="Calibri"/>
        <family val="2"/>
        <charset val="204"/>
        <scheme val="minor"/>
      </rPr>
      <t>х</t>
    </r>
    <r>
      <rPr>
        <sz val="10"/>
        <rFont val="Calibri"/>
        <family val="2"/>
        <charset val="204"/>
        <scheme val="minor"/>
      </rPr>
      <t xml:space="preserve"> п.4</t>
    </r>
  </si>
  <si>
    <t>Мінімальна тарифна ставка за просту неквал.працю</t>
  </si>
  <si>
    <t>Кількість робочих годин в 2010 році</t>
  </si>
  <si>
    <t>Кількість робочих годин в місяці</t>
  </si>
  <si>
    <t>п.7 : 12</t>
  </si>
  <si>
    <t>Кількість годин у місяці (нічних)</t>
  </si>
  <si>
    <t>Кількість святкових днів у 2010 році</t>
  </si>
  <si>
    <t>Премія (%)</t>
  </si>
  <si>
    <t>Надбавка за роботу в нічний час (до 40%)</t>
  </si>
  <si>
    <t>Надбавка за роботу в шкідливих умовах (4, 8, або 12%)</t>
  </si>
  <si>
    <r>
      <t>Кількість робочих годин в місяці для робіт АРС (365 днів*24 год./12міс./</t>
    </r>
    <r>
      <rPr>
        <sz val="10"/>
        <color rgb="FFFF0000"/>
        <rFont val="Calibri"/>
        <family val="2"/>
        <charset val="204"/>
        <scheme val="minor"/>
      </rPr>
      <t>2 зміни</t>
    </r>
    <r>
      <rPr>
        <sz val="10"/>
        <rFont val="Calibri"/>
        <family val="2"/>
        <charset val="204"/>
        <scheme val="minor"/>
      </rPr>
      <t>)</t>
    </r>
  </si>
  <si>
    <t>№
п\п</t>
  </si>
  <si>
    <t>Професія, посада</t>
  </si>
  <si>
    <t>Міжроз-
рядний коефіцієнт</t>
  </si>
  <si>
    <t>Коефіцієнт співвідношень мін. тарифних ставок</t>
  </si>
  <si>
    <t>Місячний посадовий оклад</t>
  </si>
  <si>
    <t>Годинна тарифна ставка</t>
  </si>
  <si>
    <t>нічні</t>
  </si>
  <si>
    <t>святкові</t>
  </si>
  <si>
    <t>шкідл. умови</t>
  </si>
  <si>
    <t>Місячний фонд основної заробітної плати</t>
  </si>
  <si>
    <t>% 
додат-
кової 
З.П.</t>
  </si>
  <si>
    <t>Місячний фонд додаткової заробітної плати</t>
  </si>
  <si>
    <t>Місячний фонд оплати праці</t>
  </si>
  <si>
    <t>Місячна сума премії працівника</t>
  </si>
  <si>
    <t>Заробітна плата працівника з премією</t>
  </si>
  <si>
    <t>грн. на год.</t>
  </si>
  <si>
    <t>сума грн.</t>
  </si>
  <si>
    <t>к-ть год.</t>
  </si>
  <si>
    <t>Керуючий</t>
  </si>
  <si>
    <t>Головний інженер</t>
  </si>
  <si>
    <t>Головний бухгалтер</t>
  </si>
  <si>
    <t>Провідний економіст</t>
  </si>
  <si>
    <t>Бухгалтер І категорії</t>
  </si>
  <si>
    <t xml:space="preserve">Інженер з організації експлуатації та ремонту </t>
  </si>
  <si>
    <t>Інженер з охорони праці</t>
  </si>
  <si>
    <t>Юрисконсульт І кат.</t>
  </si>
  <si>
    <t>Майстер спеціалізованих робіт</t>
  </si>
  <si>
    <t>Майстер з експлуатації житлового фонду</t>
  </si>
  <si>
    <t>Механік</t>
  </si>
  <si>
    <t>Бухгалтер 2 категорії</t>
  </si>
  <si>
    <t>Бухгалтер - обліковець</t>
  </si>
  <si>
    <t>Секретар</t>
  </si>
  <si>
    <t>Інспектор з кадрів</t>
  </si>
  <si>
    <t>Паспортист</t>
  </si>
  <si>
    <t>Завідувач складу</t>
  </si>
  <si>
    <t>Диспетчер</t>
  </si>
  <si>
    <t>Водій АТЗ (ВАЗ-2107)</t>
  </si>
  <si>
    <t>Водій АТЗ (ГАЗ-3302)</t>
  </si>
  <si>
    <t>Тракторист (Т-40)</t>
  </si>
  <si>
    <t>Тракторист (ЮМЗ)</t>
  </si>
  <si>
    <t>Тракторист (Т-16)</t>
  </si>
  <si>
    <t>Машиніст автовишки та автогідропідіймача (КРАЗ-250)</t>
  </si>
  <si>
    <t>Токар 4 розряду</t>
  </si>
  <si>
    <t>Монтажник з монтажу з/б конструкцій 4 розряду</t>
  </si>
  <si>
    <t>Електрогазозварник ручного різання та зварювання 4 розряду</t>
  </si>
  <si>
    <t>Електромонтер з ремонту і обслуговування електроустаткування 4 розряду</t>
  </si>
  <si>
    <t>Електромонтер з ремонту і обслуговування електроустаткування 3 розряду</t>
  </si>
  <si>
    <t>Покрівельник рулонних покрівель та покрівель із штучних матеріалів 4 розряду</t>
  </si>
  <si>
    <t>Покрівельник рулонних покрівель та покрівель із штучних матеріалів 3 розряду</t>
  </si>
  <si>
    <t>Слюсар-сантехнік 4 розряду</t>
  </si>
  <si>
    <t>Маляр 4 розряду</t>
  </si>
  <si>
    <t>Маляр 3 розряду</t>
  </si>
  <si>
    <t>Столяр - верстатник 4 розряду</t>
  </si>
  <si>
    <t>Столяр - верстатник 3 розряду</t>
  </si>
  <si>
    <t>Пічник 4 розряду</t>
  </si>
  <si>
    <t>Пічник 3 розряду</t>
  </si>
  <si>
    <t>Муляр 4 розряду</t>
  </si>
  <si>
    <t>Слюсар з механоскладальних робіт</t>
  </si>
  <si>
    <t>Слюсар аварійно-відбудовних робіт 4 розряду</t>
  </si>
  <si>
    <t>Двірник</t>
  </si>
  <si>
    <t>Сторож</t>
  </si>
  <si>
    <t>Прибиральник службових приміщень</t>
  </si>
  <si>
    <t>Прибиральник сход кліт у ж.б.</t>
  </si>
  <si>
    <t>Прибиральник сміттєпроводів</t>
  </si>
  <si>
    <t>Робітник з благоуст. по вид. нечист.вруч.</t>
  </si>
  <si>
    <t xml:space="preserve">Столяр </t>
  </si>
  <si>
    <t xml:space="preserve">Штукатур </t>
  </si>
  <si>
    <t xml:space="preserve">Муляр </t>
  </si>
  <si>
    <t xml:space="preserve">Слюсар-сантехнік </t>
  </si>
  <si>
    <t>Слюсар аварійно-відбудов.робіт</t>
  </si>
  <si>
    <t>Електромонтер</t>
  </si>
  <si>
    <t>Електрогазозварник</t>
  </si>
  <si>
    <t>Прибиральниця</t>
  </si>
  <si>
    <t>Оператор диспетчерської служби</t>
  </si>
  <si>
    <t xml:space="preserve"> майстер</t>
  </si>
  <si>
    <t>Начальник</t>
  </si>
  <si>
    <t>Начальник служби</t>
  </si>
  <si>
    <t>Оператор з нарах ком платежів</t>
  </si>
  <si>
    <t>Начальник ЖРЕД</t>
  </si>
  <si>
    <t>Гол. інженер (майстер-мех.)</t>
  </si>
  <si>
    <t>Провідний інженер- програміст</t>
  </si>
  <si>
    <t>Інженер з МТП</t>
  </si>
  <si>
    <t>Інспектор зі скарг</t>
  </si>
  <si>
    <t>Зав.господарством</t>
  </si>
  <si>
    <t>Заступник начальника</t>
  </si>
  <si>
    <t>Інженер 1 кат</t>
  </si>
  <si>
    <t>Інженер ІІ категорії</t>
  </si>
  <si>
    <t>Начальник паспортної служби</t>
  </si>
  <si>
    <t>ВСЬОГО</t>
  </si>
  <si>
    <t>на 630</t>
  </si>
  <si>
    <t>на 907</t>
  </si>
  <si>
    <t>Економіст</t>
  </si>
  <si>
    <t>А. М. Макаренко</t>
  </si>
  <si>
    <t>7241.1</t>
  </si>
  <si>
    <t>Додаток 2</t>
  </si>
  <si>
    <t>Додаток 3</t>
  </si>
  <si>
    <t>Додаток 4</t>
  </si>
  <si>
    <t>Додаток 5</t>
  </si>
  <si>
    <t>Додаток 6</t>
  </si>
  <si>
    <t>Додаток 1</t>
  </si>
  <si>
    <t xml:space="preserve">Відомості про площі прибудинкової території житлових будинків ОЖБК </t>
  </si>
  <si>
    <t xml:space="preserve">Площа   закріплена </t>
  </si>
  <si>
    <t>Заробітна плата</t>
  </si>
  <si>
    <t>Площа фактична (обмір)</t>
  </si>
  <si>
    <t xml:space="preserve">Площа </t>
  </si>
  <si>
    <t>Площа</t>
  </si>
  <si>
    <t>З.плата</t>
  </si>
  <si>
    <t>З.плата за прибир. сміттєкамер грн.</t>
  </si>
  <si>
    <t xml:space="preserve">Заг.площа </t>
  </si>
  <si>
    <t>Загальна</t>
  </si>
  <si>
    <t xml:space="preserve">Приведена </t>
  </si>
  <si>
    <t>Різниця</t>
  </si>
  <si>
    <t xml:space="preserve">зарплата </t>
  </si>
  <si>
    <t xml:space="preserve">  Загальна площа прибудинкової  території</t>
  </si>
  <si>
    <t>к-ть</t>
  </si>
  <si>
    <t>прибир.</t>
  </si>
  <si>
    <t xml:space="preserve">за </t>
  </si>
  <si>
    <t>з.плати</t>
  </si>
  <si>
    <t>зг. техн .</t>
  </si>
  <si>
    <t>будинку</t>
  </si>
  <si>
    <t>відмосток,</t>
  </si>
  <si>
    <t>майданчиків</t>
  </si>
  <si>
    <t>асфальт.</t>
  </si>
  <si>
    <t>клумб</t>
  </si>
  <si>
    <t xml:space="preserve">зел.зони </t>
  </si>
  <si>
    <t xml:space="preserve">зеленої зони </t>
  </si>
  <si>
    <t xml:space="preserve">площа </t>
  </si>
  <si>
    <t>між закріпл.</t>
  </si>
  <si>
    <t>за  прибир.</t>
  </si>
  <si>
    <t>зеленої зони та газонів</t>
  </si>
  <si>
    <t>пов.</t>
  </si>
  <si>
    <t>під.</t>
  </si>
  <si>
    <t>сходових</t>
  </si>
  <si>
    <t>двору</t>
  </si>
  <si>
    <t>документ.</t>
  </si>
  <si>
    <t>входу в</t>
  </si>
  <si>
    <t>покриття</t>
  </si>
  <si>
    <t>(додаткова)</t>
  </si>
  <si>
    <t>та приведеною</t>
  </si>
  <si>
    <t xml:space="preserve">двору </t>
  </si>
  <si>
    <t>клітин</t>
  </si>
  <si>
    <t>сх.кліт.</t>
  </si>
  <si>
    <t>ліфту</t>
  </si>
  <si>
    <t>євромай-</t>
  </si>
  <si>
    <t>прибира-</t>
  </si>
  <si>
    <t xml:space="preserve"> під'їзд</t>
  </si>
  <si>
    <t xml:space="preserve"> (додаткова)</t>
  </si>
  <si>
    <t>без додатк.</t>
  </si>
  <si>
    <t>з  додатков.</t>
  </si>
  <si>
    <t>площею</t>
  </si>
  <si>
    <t xml:space="preserve">по привед. 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</si>
  <si>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</si>
  <si>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</si>
  <si>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</si>
  <si>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</si>
  <si>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</si>
  <si>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</si>
  <si>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</si>
  <si>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</si>
  <si>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</si>
  <si>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</si>
  <si>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</si>
  <si>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м13</t>
  </si>
  <si>
    <t>м14</t>
  </si>
  <si>
    <t>м15</t>
  </si>
  <si>
    <t>м16</t>
  </si>
  <si>
    <t>м17</t>
  </si>
  <si>
    <t>м18</t>
  </si>
  <si>
    <t>м19</t>
  </si>
  <si>
    <t>м20</t>
  </si>
  <si>
    <t>м21</t>
  </si>
  <si>
    <t>м22</t>
  </si>
  <si>
    <t>розрах.</t>
  </si>
  <si>
    <t>факт.</t>
  </si>
  <si>
    <t>площі</t>
  </si>
  <si>
    <t>Дільниця №1, Косенок Раїса Іванівна</t>
  </si>
  <si>
    <t>ЗП</t>
  </si>
  <si>
    <t>нарах 35,69</t>
  </si>
  <si>
    <t>Зп інар</t>
  </si>
  <si>
    <t>Всього з ПДВ</t>
  </si>
  <si>
    <t>вул. 50 р. СРСР 2</t>
  </si>
  <si>
    <t>вул. 50 р.ВЛКСМ, 26</t>
  </si>
  <si>
    <t>вул. 50р. ВЛКСМ,12</t>
  </si>
  <si>
    <t>вул. 50р. ВЛКСМ,15</t>
  </si>
  <si>
    <t>вул. 50р. ВЛКСМ,16</t>
  </si>
  <si>
    <t>Всього :</t>
  </si>
  <si>
    <t xml:space="preserve">Дільниця №2, </t>
  </si>
  <si>
    <t>вул. 50р. ВЛКСМ,18</t>
  </si>
  <si>
    <t>вул. 50р. ВЛКСМ,20</t>
  </si>
  <si>
    <t>вул. 50р. ВЛКСМ,22</t>
  </si>
  <si>
    <t>Дільниця № 3, Гребенник Ганна Василівна</t>
  </si>
  <si>
    <t>вул. 50р. ВЛКСМ,24</t>
  </si>
  <si>
    <t>вул. 50р. ВЛКСМ,6</t>
  </si>
  <si>
    <t>вул. 50р. ВЛКСМ,8</t>
  </si>
  <si>
    <t>Дільниця № 4, Карпенко Тамара  Іванівна</t>
  </si>
  <si>
    <t>вул. Богунського,46-а</t>
  </si>
  <si>
    <t>17-46а</t>
  </si>
  <si>
    <t>вул. Горького, 52</t>
  </si>
  <si>
    <t>Дільниця № 5, Харченко Наталія Миколаівна</t>
  </si>
  <si>
    <t>вул. Горького, 52-а</t>
  </si>
  <si>
    <t>вул. Горького, 54</t>
  </si>
  <si>
    <t>9</t>
  </si>
  <si>
    <t>вул. Доценко 2-б</t>
  </si>
  <si>
    <t>Дільниця № 6, Кріпка Тетяна Леонідівна</t>
  </si>
  <si>
    <t>вул. Доценко 6</t>
  </si>
  <si>
    <t>Дільниця № 7, Мироненко Катерина Миколаївна</t>
  </si>
  <si>
    <t>вул. Доценко 8</t>
  </si>
  <si>
    <t>вул. Доценко,13</t>
  </si>
  <si>
    <t>вул. Доценко,13-а</t>
  </si>
  <si>
    <t>без обл.</t>
  </si>
  <si>
    <t>Дільниця № 8, Кривошей Тетяна Михайлівна</t>
  </si>
  <si>
    <t>вул. Доценко,13-б</t>
  </si>
  <si>
    <t>вул. Доценко,15-а</t>
  </si>
  <si>
    <t>вул. Доценко,15-б</t>
  </si>
  <si>
    <t>Дільниця № 9 Федорець Ганна Андріївна</t>
  </si>
  <si>
    <t>вул. Доценко,17</t>
  </si>
  <si>
    <t>вул. Доценко,25</t>
  </si>
  <si>
    <t>вул. Доценко,28 (4-8п)</t>
  </si>
  <si>
    <t>вул. Доценко,9а</t>
  </si>
  <si>
    <t>Дільниця № 10 Гапшенко Ганна Анатолійовна</t>
  </si>
  <si>
    <t>вул. Комінтерна,10</t>
  </si>
  <si>
    <t>вул. Комсомольська, 31</t>
  </si>
  <si>
    <t>вул. Космонавтов,14</t>
  </si>
  <si>
    <t>Дільниця № 11 Плутан Михайло Олександрович</t>
  </si>
  <si>
    <t>вул. Космонавтов,16</t>
  </si>
  <si>
    <t>вул. Космонавтов,18</t>
  </si>
  <si>
    <t>4200</t>
  </si>
  <si>
    <t>Дільниця № 12 Напалько О.М.</t>
  </si>
  <si>
    <t>вул. Космонавтов,3-а</t>
  </si>
  <si>
    <t>вул. Космонавтов,3-в</t>
  </si>
  <si>
    <t>вул. Космонавтов,9</t>
  </si>
  <si>
    <t>Дільниця № 13 Кот Микола Григорович</t>
  </si>
  <si>
    <t>вул. Красногвард.17-а</t>
  </si>
  <si>
    <t>вул. Красногвард.6-а</t>
  </si>
  <si>
    <t>Дільниця № 14 Хоботня Ганна Василівна</t>
  </si>
  <si>
    <t>вул. Любечцька,15</t>
  </si>
  <si>
    <t>вул. Мстиславська, 181</t>
  </si>
  <si>
    <t>433-181</t>
  </si>
  <si>
    <t>Дільниця № 15, Беда Віра Архипівна</t>
  </si>
  <si>
    <t>вул. Мстиславська,81</t>
  </si>
  <si>
    <t>вул. Мстиславська,83</t>
  </si>
  <si>
    <t>Дільниця № 17, Полуботко Валентина Петрівна</t>
  </si>
  <si>
    <t>вул. О.Кошевого,6</t>
  </si>
  <si>
    <t>вул. Одінцова,11</t>
  </si>
  <si>
    <t>вул. Одінцова,15-а</t>
  </si>
  <si>
    <t>Дільниця № 18, Карлов Петро Іванович</t>
  </si>
  <si>
    <t>вул. Одінцова,2</t>
  </si>
  <si>
    <t>Дільниця № 19, Смирнова Тамара Сергіївна</t>
  </si>
  <si>
    <t>вул. Одінцова,7-а</t>
  </si>
  <si>
    <t>вул. Пирогова,2</t>
  </si>
  <si>
    <t>Дільниця № 20,Комісарова Світлана Леонідівна</t>
  </si>
  <si>
    <t>вул. Пирогова,3</t>
  </si>
  <si>
    <t>вул. Пирогова,7-а</t>
  </si>
  <si>
    <t>вул. Попудренко,10</t>
  </si>
  <si>
    <t>вул. Попудренко,10-а</t>
  </si>
  <si>
    <t>Дільниця № 21, Коваленко Олександра Миколаївна</t>
  </si>
  <si>
    <t>вул. Попудренко,12</t>
  </si>
  <si>
    <t>вул. Преображен. ,14-б</t>
  </si>
  <si>
    <t>вул. Пухова 127</t>
  </si>
  <si>
    <t>вул. Пухова144</t>
  </si>
  <si>
    <t>Дільниця № 22, Васильев Василь Васильйович</t>
  </si>
  <si>
    <t>вул. Пухова146</t>
  </si>
  <si>
    <t>вул. П'ятницька,102</t>
  </si>
  <si>
    <t>вул. Рокосовськ., 12 к.2</t>
  </si>
  <si>
    <t>Дільниця № 23, Пильник Людмила Михайлівна</t>
  </si>
  <si>
    <t>вул. Рокосовськ.10-а</t>
  </si>
  <si>
    <t>вул. Рокосовськ.16</t>
  </si>
  <si>
    <t>вул. Рокосовськ.17-а</t>
  </si>
  <si>
    <t>Дільниця № 26,</t>
  </si>
  <si>
    <t>вул. Рокосовськ.18б</t>
  </si>
  <si>
    <t>вул. Рокосовськ.2 к.1</t>
  </si>
  <si>
    <t>Дільниця № 27, Маковій Ольга Степанівна</t>
  </si>
  <si>
    <t>вул. Рокосовськ.2 к.2</t>
  </si>
  <si>
    <t>вул. Рокосовськ.20-а</t>
  </si>
  <si>
    <t xml:space="preserve">Дільниця № 27-а, </t>
  </si>
  <si>
    <t>вул. Рокосовськ.21</t>
  </si>
  <si>
    <t>Дільниця № 28, Сіротенко Ніна Михайлівна</t>
  </si>
  <si>
    <t>вул. Рокосовськ.56</t>
  </si>
  <si>
    <t>вул. Рокосовськ.56а</t>
  </si>
  <si>
    <t>вул. Рокосовськ.58а</t>
  </si>
  <si>
    <t>Дільниця № 29, Селюк Ніна Іванівна</t>
  </si>
  <si>
    <t>вул. Рокосовськ.9</t>
  </si>
  <si>
    <t>вул. Рокосовського,11</t>
  </si>
  <si>
    <t>вул. Рокосовського,13</t>
  </si>
  <si>
    <t>Дільниця № 30, Муцька Світлана Михайлівна</t>
  </si>
  <si>
    <t>вул. Рокосовського,16-а</t>
  </si>
  <si>
    <t>вул. Рокосовського,18-а</t>
  </si>
  <si>
    <t>вул. Рокосовського,3</t>
  </si>
  <si>
    <t>Дільниця № 31, Кожедуб Ганна Петрівна</t>
  </si>
  <si>
    <t>вул. Рокосовського,35</t>
  </si>
  <si>
    <t>вул. Рокосовського,37</t>
  </si>
  <si>
    <t>Дільниця № 33, Пономаренко Лариса Іллівна</t>
  </si>
  <si>
    <t>вул. Рокосовського,41-а</t>
  </si>
  <si>
    <t>вул. Рокосовського,41-б</t>
  </si>
  <si>
    <t>вул. Рокосовського,43</t>
  </si>
  <si>
    <t>Дільниця № 34, Воробйова Ольга Борисівна</t>
  </si>
  <si>
    <t>вул. Рокосовського,45-а</t>
  </si>
  <si>
    <t>вул. Рокосовського,4-а</t>
  </si>
  <si>
    <t>вул. Рокосовського,5</t>
  </si>
  <si>
    <t>Дільниця № 35, Гавриленко Юрій Михайлович</t>
  </si>
  <si>
    <t>вул. Рокосовського,51</t>
  </si>
  <si>
    <t>вул. Рокосовського,8</t>
  </si>
  <si>
    <t xml:space="preserve">вул. Савчука, 1 </t>
  </si>
  <si>
    <t>3954</t>
  </si>
  <si>
    <t>Дільниця № 36 Музирьова Ганна Степанівна</t>
  </si>
  <si>
    <t xml:space="preserve">вул. Савчука,7(1-5п.) </t>
  </si>
  <si>
    <t xml:space="preserve">вул. Савчука,7(6-9п.) </t>
  </si>
  <si>
    <t xml:space="preserve">Дільниця № 37,  </t>
  </si>
  <si>
    <t>вул. Святомиколаївська, 12</t>
  </si>
  <si>
    <t>Дільниця № 38,  Кириєнко Василь Васильович</t>
  </si>
  <si>
    <t>вул. Стаханівців,20</t>
  </si>
  <si>
    <t>5655</t>
  </si>
  <si>
    <t>вул. Шевченко 49 б</t>
  </si>
  <si>
    <t>вул. Шевченко 49а</t>
  </si>
  <si>
    <t>Дільниця № 38-а,  Кириєнко Сергій Васильович</t>
  </si>
  <si>
    <t>вул. Шевченко 53 б</t>
  </si>
  <si>
    <t>вул. Шевченко 53 в</t>
  </si>
  <si>
    <t>Дільниця № 39,  Тищенко Наталія Максимівна</t>
  </si>
  <si>
    <t>вул.1 Гв. Армії, 37</t>
  </si>
  <si>
    <t>Дільниця № 40,  Постол Наталія Миколаївна</t>
  </si>
  <si>
    <t>вул.1 Гв. Армії, 39</t>
  </si>
  <si>
    <t>вул.Волковича ,11</t>
  </si>
  <si>
    <t>вул.Волковича ,13</t>
  </si>
  <si>
    <t>Дільниця № 41,  Зубок Любов Миколаївна</t>
  </si>
  <si>
    <t>вул.Доценко, 28 (1-3п)</t>
  </si>
  <si>
    <t>вул.Доценко, 30а</t>
  </si>
  <si>
    <t>вул.Доценко,1 8</t>
  </si>
  <si>
    <t>вул.Промислова,1</t>
  </si>
  <si>
    <t>Дільниця № 42,  Геращенко Надія Іванівна</t>
  </si>
  <si>
    <t>вул.Рокосовського, 26</t>
  </si>
  <si>
    <t>вул.Рокосовського, 49</t>
  </si>
  <si>
    <t>вул.Толстого, 128</t>
  </si>
  <si>
    <t>Дільниця № 43,  Тищенко Віктор Васильович</t>
  </si>
  <si>
    <t>вул.Толстого, 98</t>
  </si>
  <si>
    <t>вул.Щорса ,22</t>
  </si>
  <si>
    <t>Дільниця № 44,  Калінько Тамара Миколаївна</t>
  </si>
  <si>
    <t>пр. Перемоги 184</t>
  </si>
  <si>
    <t>Дільниця № 46,  Галіновський Борис Олександрович</t>
  </si>
  <si>
    <t>п-т Миру,143,</t>
  </si>
  <si>
    <t>Дільниця № 47,  Шустік Андрій Віталійович</t>
  </si>
  <si>
    <t>п-т Миру,151-а</t>
  </si>
  <si>
    <t>п-т Перемоги 116</t>
  </si>
  <si>
    <t>п-т Перемоги 118</t>
  </si>
  <si>
    <t>Дільниця № 48, Заїка Михайло Миколайович</t>
  </si>
  <si>
    <t>п-т Перемоги 120</t>
  </si>
  <si>
    <t>Дільниця № 49,  Пилипенко Григорій Миколайович</t>
  </si>
  <si>
    <t>п-т Перемоги 163</t>
  </si>
  <si>
    <t xml:space="preserve">перші </t>
  </si>
  <si>
    <t>вище</t>
  </si>
  <si>
    <t>п-т Перемоги 191</t>
  </si>
  <si>
    <t>Дільниця № 50, Радченко Ольга Миколаївна</t>
  </si>
  <si>
    <t>п-т Перемоги 201</t>
  </si>
  <si>
    <t>п-т Перемоги 203</t>
  </si>
  <si>
    <t>п-т Перемоги 42</t>
  </si>
  <si>
    <t>Дільниця № 51, Железняк Любов Антонівна</t>
  </si>
  <si>
    <t>п-т Перемоги 46</t>
  </si>
  <si>
    <t>Дільниця № 53, Железняк Микола Михайлович</t>
  </si>
  <si>
    <t>п-т Перемоги 52</t>
  </si>
  <si>
    <t>п-т Перемоги 58</t>
  </si>
  <si>
    <t>п-т. Миру, 180</t>
  </si>
  <si>
    <t>п-т. Миру, 201-б</t>
  </si>
  <si>
    <t>3 пов</t>
  </si>
  <si>
    <t>Дільниця № 54, Бражникова Любов Іванівна</t>
  </si>
  <si>
    <t>п-т. Миру, 205</t>
  </si>
  <si>
    <t>п-т. Миру, 207-а</t>
  </si>
  <si>
    <t>п-т. Миру, 259</t>
  </si>
  <si>
    <t>п-т. Миру, 65</t>
  </si>
  <si>
    <t>Разом:</t>
  </si>
  <si>
    <t>Узгоджено :</t>
  </si>
  <si>
    <t xml:space="preserve">майстри </t>
  </si>
  <si>
    <t>_________________________</t>
  </si>
  <si>
    <t>Т.А. Команда</t>
  </si>
  <si>
    <t>О.О. Шумейко</t>
  </si>
  <si>
    <t>Голова комісії                       __________________________   Сінкевич Л.І.</t>
  </si>
  <si>
    <t>Члени   комісії :                     __________________________   Коваленко І.В</t>
  </si>
  <si>
    <t>Економіст    _____________________ Музиченко Г.М.</t>
  </si>
  <si>
    <t xml:space="preserve">                                                  __________________________   Музиченко Г.М.</t>
  </si>
  <si>
    <t xml:space="preserve">                                                  __________________________   Шумейко О.О.</t>
  </si>
  <si>
    <t xml:space="preserve">                                                  __________________________   Команда Т.А.</t>
  </si>
  <si>
    <t xml:space="preserve">                                                  __________________________   Притиковська Н.А.</t>
  </si>
  <si>
    <t xml:space="preserve">перевод на 7 ч. р.день </t>
  </si>
  <si>
    <t>Кривошей Т.М.</t>
  </si>
  <si>
    <t>пенсионер</t>
  </si>
  <si>
    <t>Геращенко Н.І.</t>
  </si>
  <si>
    <t>через 2 года</t>
  </si>
  <si>
    <t>допл.</t>
  </si>
  <si>
    <t>Харченко</t>
  </si>
  <si>
    <t>до 12.12</t>
  </si>
  <si>
    <t>Хропата</t>
  </si>
  <si>
    <t>до 28.10.13</t>
  </si>
  <si>
    <t>Код норми</t>
  </si>
  <si>
    <t>Очищення ділянок території від снігу при виконанні зимових механізованих робіт з прибирання</t>
  </si>
  <si>
    <t>Складання снігу у вали або купи після механізованого прибирання</t>
  </si>
  <si>
    <t>Підмітання снігу, який щойно випав, після обробки сумішшю піску з хлоридами</t>
  </si>
  <si>
    <t>Очищення території з удосконаленим покриттям від ущільненого снігу та льоду після обробки реагентами</t>
  </si>
  <si>
    <t>Очищення території з удосконаленим покриттям від ущільненого снігу</t>
  </si>
  <si>
    <t>Очищення території від полою</t>
  </si>
  <si>
    <t>Зсування снігу та відколу, скинутого з даху</t>
  </si>
  <si>
    <t>Очищення контейнерного майданчика в холодний період</t>
  </si>
  <si>
    <t>Перекидання снігу і відколу</t>
  </si>
  <si>
    <t>Підготування суміші піску з хлоридами</t>
  </si>
  <si>
    <t>Транспортування суміші піску з хлоридами на візку або санчатах з місця складування до місця посипання</t>
  </si>
  <si>
    <t>Очищення ділянки територій під час літніх механізованих робіт з прибирання</t>
  </si>
  <si>
    <t>Прибирання газонів від листя, хмизу, сміття: газони середньої засміченості</t>
  </si>
  <si>
    <t>Прибирання газонів від листя, хмизу, сміття: газони сильної засміченості</t>
  </si>
  <si>
    <t>Прибирання газонів від випадкового сміття</t>
  </si>
  <si>
    <t>Прибирання дворового туалету на 2-3 місця</t>
  </si>
  <si>
    <t>Прибирання листя в осінній період вручну</t>
  </si>
  <si>
    <t>Прибирання скошеної трави з газонів</t>
  </si>
  <si>
    <t>Промивання номерних ліхтарів</t>
  </si>
  <si>
    <t>Протирання покажчиків</t>
  </si>
  <si>
    <t>Вивішування або зняття прапорів</t>
  </si>
  <si>
    <t>Миття сходів і майданчика перед входом у під'їзд</t>
  </si>
  <si>
    <t>Очищення приямків з металевими решітками біля входу на сходи</t>
  </si>
  <si>
    <t>Профілактичний огляд сміттєпроводу та сміттєзбірника</t>
  </si>
  <si>
    <t>Вологе підмітання підлоги сміттєприймальних камер</t>
  </si>
  <si>
    <t>Прибирання завантажувальних клапанів сміттєпроводу</t>
  </si>
  <si>
    <t>Змітання пилу зі стелі</t>
  </si>
  <si>
    <t>Вологе протирання плафонів</t>
  </si>
  <si>
    <t>Норма часу за Типовими нормами на одиницю виміру в годину</t>
  </si>
  <si>
    <t>Нормогод. за весь обсяг робіт з урахуванням повторюваності</t>
  </si>
  <si>
    <t>Обсяг робіт, які виконуються</t>
  </si>
  <si>
    <t>повторюваність</t>
  </si>
  <si>
    <t xml:space="preserve">1. </t>
  </si>
  <si>
    <t xml:space="preserve">2. </t>
  </si>
  <si>
    <t xml:space="preserve">РАЗОМ: </t>
  </si>
  <si>
    <t xml:space="preserve">Чисельність двірників складає: </t>
  </si>
  <si>
    <t xml:space="preserve">Ч = (30551 : 2100) = 14,55 = 15 чол. </t>
  </si>
  <si>
    <t>Де: 2100 - річний фонд робочого часу двірника в годинах.</t>
  </si>
  <si>
    <t xml:space="preserve"> - без покриття: </t>
  </si>
  <si>
    <t xml:space="preserve"> - з неудосконаленим покриттям: </t>
  </si>
  <si>
    <t xml:space="preserve"> - з удосконаленим покриттям: </t>
  </si>
  <si>
    <t xml:space="preserve">Підмітання снігу, який щойно випав, товщиною шару до 2 см: </t>
  </si>
  <si>
    <t>2.192.11</t>
  </si>
  <si>
    <t>НЧМ_№</t>
  </si>
  <si>
    <t>Склад і технологія робіт, які виконує двірник у зимовий період</t>
  </si>
  <si>
    <t>Склад і технологія робіт, які виконує двірник у літній період</t>
  </si>
  <si>
    <t>Склад і технологія робіт, які виконує двірник у літній та зимовий періоди</t>
  </si>
  <si>
    <t>Зсування снігу, який щойно випав, товщиною шару понад 2 см:</t>
  </si>
  <si>
    <t>3.</t>
  </si>
  <si>
    <t>4.</t>
  </si>
  <si>
    <t>Очищення від снігу, який щойно випав (східці)</t>
  </si>
  <si>
    <t>Очищення від снігу, який щойно випав (відмостки і майданчики)</t>
  </si>
  <si>
    <t>Очищення від полою та льоду водостічних труб</t>
  </si>
  <si>
    <t>Очищення від полою та льоду кришок люків колодязів</t>
  </si>
  <si>
    <t>Одиниця виміру (кількість)</t>
  </si>
  <si>
    <t>Сколювання льоду (товщина шару до 10 см)</t>
  </si>
  <si>
    <t>Сколювання льоду (товщина шару понад 10 см)</t>
  </si>
  <si>
    <t>Завантаження снігу (ущільнений сніг - висота підйому до 1 м)</t>
  </si>
  <si>
    <t>Завантаження снігу (ущільнений сніг - висота підйому до 1,6 м)</t>
  </si>
  <si>
    <t>Завантаження снігу (сніг, який щойно випав - висота підйому до 1 м)</t>
  </si>
  <si>
    <t>Завантаження снігу (сніг, який щойно випав - висота підйому до 1,6 м)</t>
  </si>
  <si>
    <t>Навантаження льоду (висота підйому до 1 м)</t>
  </si>
  <si>
    <t>Навантаження льоду (висота підйому до 1,6 м)</t>
  </si>
  <si>
    <t>Посипання територій піском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</si>
  <si>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</si>
  <si>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</si>
  <si>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</si>
  <si>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</si>
  <si>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</si>
  <si>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</si>
  <si>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</si>
  <si>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</si>
  <si>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</si>
  <si>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</si>
  <si>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</si>
  <si>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</si>
  <si>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</si>
  <si>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</si>
  <si>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</si>
  <si>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</si>
  <si>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</si>
  <si>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</si>
  <si>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</si>
  <si>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</si>
  <si>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</si>
  <si>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</si>
  <si>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Підмітання території:</t>
  </si>
  <si>
    <t>Очищення ділянки територій під час літніх механізованих робіт з прибирання (вода)</t>
  </si>
  <si>
    <t>Миття території з удосконаленими та неудосконаленими покриттями (вода, мийний розчин)</t>
  </si>
  <si>
    <t>27.</t>
  </si>
  <si>
    <t>28.</t>
  </si>
  <si>
    <t>29.</t>
  </si>
  <si>
    <t>30.</t>
  </si>
  <si>
    <t>31.</t>
  </si>
  <si>
    <t>Очищення урн від сміття (чавунні литі)</t>
  </si>
  <si>
    <t>Очищення урн від сміття (залізобетонні з металевими вкладишами)</t>
  </si>
  <si>
    <t>Очищення урн від сміття (кулясті)</t>
  </si>
  <si>
    <t>Промивання урн від сміття (чавунні литі)</t>
  </si>
  <si>
    <t>Промивання урн від сміття (залізобетонні з металевими вкладишами)</t>
  </si>
  <si>
    <t>Промивання урн від сміття (кулясті)</t>
  </si>
  <si>
    <t>Промивання урн зі шланга (чавунні литі)</t>
  </si>
  <si>
    <t>Промивання урн зі шланга (залізобетонні з металевими вкладишами)</t>
  </si>
  <si>
    <t>Промивання урн зі шланга (кулясті)</t>
  </si>
  <si>
    <t>Підмітання майданчика перед входом у під'їзд (підмітання, складання сміття докупи)</t>
  </si>
  <si>
    <t>Вилучення сміття зі сміттєприймальних камер (сміттєзбірник - бункер)</t>
  </si>
  <si>
    <t>Вилучення сміття зі сміттєприймальних камер (переносний сміттєзбірник)</t>
  </si>
  <si>
    <t>Вилучення сміття зі сміттєприймальних камер (сміттєзбірник - контейнер)</t>
  </si>
  <si>
    <t>Прибирання сміттєприймальних камер (промивання за допомогою шланга)</t>
  </si>
  <si>
    <t>Прибирання сміттєприймальних камер (промивання без допомоги шланга)</t>
  </si>
  <si>
    <t>Миття контейнерних сміттєзбірників за допомогою шланга</t>
  </si>
  <si>
    <t>Миття контейнерних сміттєзбірників без допомоги шланга</t>
  </si>
  <si>
    <t>Миття переносних сміттєзбірників за допомогою шланга</t>
  </si>
  <si>
    <t>Миття переносних сміттєзбірників без допомоги шланга</t>
  </si>
  <si>
    <t>Прибирання бункерів (промивання за допомогою шланга)</t>
  </si>
  <si>
    <t>Прибирання бункерів (промивання без допомоги шланга)</t>
  </si>
  <si>
    <t>Дезінфекція сміттєзбірників (бункер)</t>
  </si>
  <si>
    <t>Дезінфекція сміттєзбірників (контейнер)</t>
  </si>
  <si>
    <t>Дезінфекція сміттєзбірників (переносний сміттїзбірник)</t>
  </si>
  <si>
    <t>Дезінфекція усіх елементів стволів сміттєпроводу (вручну)</t>
  </si>
  <si>
    <t>Дезінфекція усіх елементів стволів сміттєпроводу (за допомогою йоржів з ручними лебідками)</t>
  </si>
  <si>
    <t>Навантаження сміття на транспортний засіб або ємність вручну (ущільнене сміття)</t>
  </si>
  <si>
    <t>Навантаження сміття на транспортний засіб або ємність вручну (неущільнене сміття)</t>
  </si>
  <si>
    <t>Навантаження сміття на транспортний засіб або ємність вручну (пухке сміття)</t>
  </si>
  <si>
    <t>Прибирання горищ, підвалів та інших приміщень загального користування, вільних від обладнання, до яких не передбачений вільний доступ (ступінь наповненості до 0,2)</t>
  </si>
  <si>
    <t>Прибирання горищ, підвалів та інших приміщень загального користування, вільних від обладнання, до яких не передбачений вільний доступ (ступінь наповненості від 0,2 до 0,5)</t>
  </si>
  <si>
    <t>Прибирання горищ, підвалів та інших приміщень загального користування, вільних від обладнання, до яких не передбачений вільний доступ (ступінь наповненості від 0,5 до 0,75)</t>
  </si>
  <si>
    <t>Прибирання горищ, підвалів та інших приміщень загального користування, вільних від обладнання, до яких не передбачений вільний доступ (ступінь наповненості понад 0,75)</t>
  </si>
  <si>
    <t>Прибирання бойлерних, машинних відділень, майстерень та інших приміщень загального користування, які містять обладнання, до яких не передбачений вільний доступ (ступінь наповненості від 0,2 до 0,5)</t>
  </si>
  <si>
    <t>Прибирання бойлерних, машинних відділень, майстерень та інших приміщень загального користування, які містять обладнання, до яких не передбачений вільний доступ (ступінь наповненості до 0,2)</t>
  </si>
  <si>
    <t>Прибирання бойлерних, машинних відділень, майстерень та інших приміщень загального користування, які містять обладнання, до яких не передбачений вільний доступ (ступінь наповненості від 0,5 до 0,75)</t>
  </si>
  <si>
    <t>Прибирання бойлерних, машинних відділень, майстерень та інших приміщень загального користування, які містять обладнання, до яких не передбачений вільний доступ (ступінь наповненості понад 0,75)</t>
  </si>
  <si>
    <t>Прибирання кабінетів, приймальних, залів засідань, дитячих кімнат та інших приміщень загального користування, до яких передбачений вільний доступ (ступінь наповненості до 0,2)</t>
  </si>
  <si>
    <t>Прибирання кабінетів, приймальних, залів засідань, дитячих кімнат та інших приміщень загального користування, до яких передбачений вільний доступ (ступінь наповненості від 0,2 до 0,5)</t>
  </si>
  <si>
    <t>Прибирання кабінетів, приймальних, залів засідань, дитячих кімнат та інших приміщень загального користування, до яких передбачений вільний доступ (ступінь наповненості від 0,5 до 0,75)</t>
  </si>
  <si>
    <t>Прибирання кабінетів, приймальних, залів засідань, дитячих кімнат та інших приміщень загального користування, до яких передбачений вільний доступ (ступінь наповненості понад 0,75)</t>
  </si>
  <si>
    <t>Прибирання холів, коридорів, вестибюлів, галерей та інших приміщень загального користування, до яких передбачений вільний доступ (ступінь наповненості до 0,2)</t>
  </si>
  <si>
    <t>Прибирання холів, коридорів, вестибюлів, галерей та інших приміщень загального користування, до яких передбачений вільний доступ (ступінь наповненості від 0,2 до 0,4)</t>
  </si>
  <si>
    <t>Миття вікон з легким доступом для роботи (звичайна конфігурація, суцільне скло)</t>
  </si>
  <si>
    <t>Миття вікон з легким доступом для роботи (звичайна конфігурація, не більше п'яти чарунок)</t>
  </si>
  <si>
    <t>Миття вікон з легким доступом для роботи (звичайна конфігурація, більше п'яти чарунок)</t>
  </si>
  <si>
    <t>Миття вікон з легким доступом для роботи (складна конфігурація)</t>
  </si>
  <si>
    <t>Миття вікон з легким доступом для роботи (суцільне скло вітринного типу)</t>
  </si>
  <si>
    <t>Миття вікон з легким доступом для роботи (суцільне скло вітринного типу, не більше п'яти чарунок)</t>
  </si>
  <si>
    <t>Миття вікон з легким доступом для роботи (суцільне скло вітринного типу, більше п'яти чарунок)</t>
  </si>
  <si>
    <t>Миття вікон з ускладненим доступом для роботи (звичайна конфігурація, суцільне скло)</t>
  </si>
  <si>
    <t>Миття вікон з ускладненим доступом для роботи (звичайна конфігурація, не більше п'яти чарунок)</t>
  </si>
  <si>
    <t>Миття вікон з ускладненим доступом для роботи (звичайна конфігурація, більше п'яти чарунок)</t>
  </si>
  <si>
    <t>Миття вікон з ускладненим доступом для роботи (складна конфігурація)</t>
  </si>
  <si>
    <t>Миття вікон з ускладненим доступом для роботи (суцільне скло вітринного типу)</t>
  </si>
  <si>
    <t>Миття вікон з ускладненим доступом для роботи (суцільне скло вітринного типу, не більше п'яти чарунок)</t>
  </si>
  <si>
    <t>Миття вікон з ускладненим доступом для роботи (суцільне скло вітринного типу, більше п'яти чарунок)</t>
  </si>
  <si>
    <t>Вологе протирання (стіни)</t>
  </si>
  <si>
    <t>Вологе протирання (двері)</t>
  </si>
  <si>
    <t>Вологе протирання (підвіконня)</t>
  </si>
  <si>
    <t>Вологе протирання (віконні огородження, ґрати)</t>
  </si>
  <si>
    <t>Вологе протирання (поручні)</t>
  </si>
  <si>
    <t>Вологе протирання (сходи на горище)</t>
  </si>
  <si>
    <t>Вологе протирання (огородження ліфтових шахт з металевої сітки)</t>
  </si>
  <si>
    <t>Вологе протирання (опалювальні радіатори)</t>
  </si>
  <si>
    <t>Вологе протирання (секційні (поворотні) поштові скриньки)</t>
  </si>
  <si>
    <t>Вологе протирання (індивідуальні поштові скриньки, шафи та дверцята електрощитів, корпусів та дверцята електричних пристроїв усіх типів)</t>
  </si>
  <si>
    <t>Вологе підмітання сходових кліток і маршів перших трьох поверхів (обладнання на сходових клітках: обладнання відсутнє)</t>
  </si>
  <si>
    <t>Вологе підмітання сходових кліток і маршів перших трьох поверхів (обладнання на сходових клітках: сміттєпровід)</t>
  </si>
  <si>
    <t>Вологе підмітання сходових кліток і маршів перших трьох поверхів (обладнання на сходових клітках: ліфт)</t>
  </si>
  <si>
    <t>Вологе підмітання сходових кліток і маршів перших трьох поверхів (обладнання на сходових клітках: ліфт і сміттєпровід)</t>
  </si>
  <si>
    <t>Вологе підмітання сходових кліток і маршів вище третього поверху (обладнання на сходових клітках: обладнання відсутнє)</t>
  </si>
  <si>
    <t>Вологе підмітання сходових кліток і маршів вище третього поверху (обладнання на сходових клітках: сміттєпровід)</t>
  </si>
  <si>
    <t>Вологе підмітання сходових кліток і маршів вище третього поверху (обладнання на сходових клітках: ліфт)</t>
  </si>
  <si>
    <t>Вологе підмітання сходових кліток і маршів вище третього поверху (обладнання на сходових клітках: ліфт і сміттєпровід)</t>
  </si>
  <si>
    <t>Вологе підмітання місць перед завантажувальними камерами сміттєпроводів (за відсутності ліфта на сходовій клітці)</t>
  </si>
  <si>
    <t>Вологе підмітання місць перед завантажувальними камерами сміттєпроводів (за наявності ліфта на сходовій клітці)</t>
  </si>
  <si>
    <t>Вологе підмітання місць для бачків з харчовими відходами (обладнання на сходових клітках: обладнання відсутнє)</t>
  </si>
  <si>
    <t>Вологе підмітання місць для бачків з харчовими відходами (обладнання на сходових клітках: сміттєпровід)</t>
  </si>
  <si>
    <t>Вологе підмітання місць для бачків з харчовими відходами (обладнання на сходових клітках: ліфт)</t>
  </si>
  <si>
    <t>Вологе підмітання місць для бачків з харчовими відходами (обладнання на сходових клітках: ліфт і сміттєпровід)</t>
  </si>
  <si>
    <t>Миття сходових кліток і маршів перших трьох поверхів (обладнання на сходових клітках: обладнання відсутнє)</t>
  </si>
  <si>
    <t>Миття сходових кліток і маршів перших трьох поверхів (обладнання на сходових клітках: сміттєпровід)</t>
  </si>
  <si>
    <t>Миття сходових кліток і маршів перших трьох поверхів (обладнання на сходових клітках: ліфт)</t>
  </si>
  <si>
    <t>Миття сходових кліток і маршів перших трьох поверхів (обладнання на сходових клітках: ліфт і сміттєпровід)</t>
  </si>
  <si>
    <t>Миття сходових кліток і маршів вище третього поверху (обладнання на сходових клітках: обладнання відсутнє)</t>
  </si>
  <si>
    <t>Миття сходових кліток і маршів вище третього поверху (обладнання на сходових клітках: сміттєпровід)</t>
  </si>
  <si>
    <t>Миття сходових кліток і маршів вище третього поверху (обладнання на сходових клітках: ліфт)</t>
  </si>
  <si>
    <t>Миття сходових кліток і маршів вище третього поверху (обладнання на сходових клітках: ліфт і сміттєпровід)</t>
  </si>
  <si>
    <t>Прибирання туалету в приміщенні (жіночий туалет)</t>
  </si>
  <si>
    <t>Прибирання туалету в приміщенні (чоловічий туалет)</t>
  </si>
  <si>
    <t>Прибирання кабін ліфтів (вологе підмітання, тип поверхні: підлога)</t>
  </si>
  <si>
    <t>Прибирання кабін ліфтів (миття, тип поверхні: підлога)</t>
  </si>
  <si>
    <t>Прибирання кабін ліфтів (миття, тип поверхні: стіни та двері)</t>
  </si>
  <si>
    <t>Прибирання кабін ліфтів (протирання, тип поверхні: стіни та двері)</t>
  </si>
  <si>
    <t>j</t>
  </si>
  <si>
    <t>При 18-часовой рабочей неделе</t>
  </si>
  <si>
    <t>При 20-часовой рабочей неделе</t>
  </si>
  <si>
    <t>При 24-часовой рабочей неделе</t>
  </si>
  <si>
    <t>При 25-часовой рабочей неделе</t>
  </si>
  <si>
    <t>При 30-часовой рабочей неделе</t>
  </si>
  <si>
    <t>При 33-часовой рабочей неделе</t>
  </si>
  <si>
    <t>При 36-часовой рабочей неделе</t>
  </si>
  <si>
    <t>При 38,5-часовой рабочей неделе</t>
  </si>
  <si>
    <t>При 39-часовой рабочей неделе</t>
  </si>
  <si>
    <t>При 40-часовой рабочей неделе</t>
  </si>
  <si>
    <t>Рабочее время (в часах)</t>
  </si>
  <si>
    <t>Рабочие дни</t>
  </si>
  <si>
    <t>Нерабочие дни</t>
  </si>
  <si>
    <t>Выходные дни</t>
  </si>
  <si>
    <t>К. д. для расчета отпускных</t>
  </si>
  <si>
    <t>Праздничные дни</t>
  </si>
  <si>
    <t>Календарные дни</t>
  </si>
  <si>
    <t>2014 год</t>
  </si>
  <si>
    <t>2-е полугодие</t>
  </si>
  <si>
    <t>IV квартал</t>
  </si>
  <si>
    <t>Декабрь</t>
  </si>
  <si>
    <t>Ноябрь</t>
  </si>
  <si>
    <t>Октябрь</t>
  </si>
  <si>
    <t>III квартал</t>
  </si>
  <si>
    <t>Сентябрь</t>
  </si>
  <si>
    <t>Август</t>
  </si>
  <si>
    <t>Июль</t>
  </si>
  <si>
    <t>1-е полугодие</t>
  </si>
  <si>
    <t>II квартал</t>
  </si>
  <si>
    <t>Июнь</t>
  </si>
  <si>
    <t>Май</t>
  </si>
  <si>
    <t>Апрель</t>
  </si>
  <si>
    <t>I квартал</t>
  </si>
  <si>
    <t>Март</t>
  </si>
  <si>
    <t>Февраль</t>
  </si>
  <si>
    <t>Январь</t>
  </si>
  <si>
    <t>Количество дней</t>
  </si>
  <si>
    <t>Нормы рабочего времени на 2014 год</t>
  </si>
  <si>
    <t>Всього витрат</t>
  </si>
  <si>
    <t>Приведена площа прибудинкової території</t>
  </si>
  <si>
    <t>Витрати з прибирання прибудинкової території</t>
  </si>
  <si>
    <t>Накладні витрати</t>
  </si>
  <si>
    <t>Витрати з прибирання сходових кліток</t>
  </si>
  <si>
    <t>шт</t>
  </si>
  <si>
    <t>Матеріальні витрати</t>
  </si>
  <si>
    <t>Додаток № 1</t>
  </si>
  <si>
    <t>до договору від  __. __. ______№__________</t>
  </si>
  <si>
    <t>про участь у витратах по утриманню житлового будинку і прилеглої до нього території та надання</t>
  </si>
  <si>
    <t>житлово-комунальних послуг</t>
  </si>
  <si>
    <t>Попередні розрахункові норми витрат на утримання житлового будинку і прилеглої до нього території та на житлово-комунальні послуги</t>
  </si>
  <si>
    <t>Складова витрат</t>
  </si>
  <si>
    <t>Витрати з вивезення побутових відходів, нараховані для фізичних осіб, реєстрація місця проживання яких здійснена за адресою житлового будинку (гуртожитку)**</t>
  </si>
  <si>
    <t>Витрати з прибирання підвалу, технічних поверхів та покрівлі</t>
  </si>
  <si>
    <t>Витрати з технічного обслуговування ліфтів</t>
  </si>
  <si>
    <t>Витрати з обслуговування систем диспетчеризації (підтримання в робочому стані систем у ліфті, на вході до ліфта та на робочому місці диспетчера)</t>
  </si>
  <si>
    <t>Витрати з технічного обслуговування внутрішньобудинкових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</si>
  <si>
    <t>Витрати з дератизації</t>
  </si>
  <si>
    <t>Витрати з дезінсекції</t>
  </si>
  <si>
    <t>Витрати з обслуговування димовентиляційних каналів</t>
  </si>
  <si>
    <t>Вартість робіт з технічного обслуговування та поточного ремонту систем протипожежної автоматики і димовидалення, а також за наявності інших внутрішньобудинкових інженерних систем</t>
  </si>
  <si>
    <t>Витрати з проведення поточного ремонту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розташованих на закріпленій в установленому порядку прибудинковій території (зокрема, спортивних, дитячих та інших майданчиків)</t>
  </si>
  <si>
    <t>Витрати з поливання дворів, клумб і газонів</t>
  </si>
  <si>
    <t>Витрати з прибирання і вивезення снігу, посипання призначеної для проходу та проїзду частини прибудинкової території протиожеледними сумішами</t>
  </si>
  <si>
    <t>Витрати з експлуатації номерних знаків на будинках</t>
  </si>
  <si>
    <t>Витрати з освітлення місць загального користування і підвальних приміщень та підкачування води</t>
  </si>
  <si>
    <t>Витрати з енергопостачання для ліфтів</t>
  </si>
  <si>
    <t>Витрати з проведення періодичної повірки, обслуговування і ремонту квартирних засобів обліку води та теплової енергії, у тому числі їх демонтажу, транспортування та монтажу після повірки</t>
  </si>
  <si>
    <t>Всього для квартир (житлових приміщень у гуртожитку) та нежитлових приміщень у житловому будинку (гуртожитку)</t>
  </si>
  <si>
    <t>Всього для квартир (житлових приміщень у гуртожитку) та нежитлових приміщень у житловому будинку (гуртожитку), які мають окремі виходи безпосередньо на сходові клітки, що влаштовані з урахуванням вимог державних будівельних норм та зазначені у технічних паспортах на нежитлові приміщення</t>
  </si>
  <si>
    <t>при оплаті до</t>
  </si>
  <si>
    <t>20-го числа</t>
  </si>
  <si>
    <t>при оплаті після</t>
  </si>
  <si>
    <t>(з рентабельністю та ПДВ)</t>
  </si>
  <si>
    <t>ТОВ ""</t>
  </si>
  <si>
    <t>Факт. адреса:</t>
  </si>
  <si>
    <t>Юр. адреса:</t>
  </si>
  <si>
    <t xml:space="preserve">п/р </t>
  </si>
  <si>
    <t>МФО</t>
  </si>
  <si>
    <t>код ЄДРПОУ</t>
  </si>
  <si>
    <t>ІПН</t>
  </si>
  <si>
    <t>Свідоцтво платника ПДВ___________</t>
  </si>
  <si>
    <t>___________________________________</t>
  </si>
  <si>
    <t>Паспорт ____________</t>
  </si>
  <si>
    <t>Ідентифікаційний номер _______________</t>
  </si>
  <si>
    <t>Адреса:_________________________</t>
  </si>
  <si>
    <t>Тел. ______________</t>
  </si>
  <si>
    <t>____________________________ П.І.Б.</t>
  </si>
  <si>
    <r>
      <t xml:space="preserve">Тариф на послуги з утримання будинку та прибудинкової території </t>
    </r>
    <r>
      <rPr>
        <b/>
        <sz val="11"/>
        <color theme="1"/>
        <rFont val="Calibri"/>
        <family val="2"/>
        <charset val="204"/>
        <scheme val="minor"/>
      </rPr>
      <t>для квартир</t>
    </r>
    <r>
      <rPr>
        <sz val="11"/>
        <color theme="1"/>
        <rFont val="Calibri"/>
        <family val="2"/>
        <charset val="204"/>
        <scheme val="minor"/>
      </rPr>
      <t xml:space="preserve"> (з рентабельністю та ПДВ)</t>
    </r>
  </si>
  <si>
    <r>
      <t xml:space="preserve">Тариф на послуги з утримання будинку та прибудинкової території </t>
    </r>
    <r>
      <rPr>
        <b/>
        <sz val="11"/>
        <color theme="1"/>
        <rFont val="Calibri"/>
        <family val="2"/>
        <charset val="204"/>
        <scheme val="minor"/>
      </rPr>
      <t>для нежитлових приміщень</t>
    </r>
  </si>
  <si>
    <r>
      <t>Плановані витрати, грн/м</t>
    </r>
    <r>
      <rPr>
        <b/>
        <vertAlign val="superscript"/>
        <sz val="8"/>
        <color rgb="FF000000"/>
        <rFont val="Calibri"/>
        <family val="2"/>
        <charset val="204"/>
        <scheme val="minor"/>
      </rPr>
      <t>2</t>
    </r>
    <r>
      <rPr>
        <sz val="8"/>
        <color rgb="FF000000"/>
        <rFont val="Calibri"/>
        <family val="2"/>
        <charset val="204"/>
        <scheme val="minor"/>
      </rPr>
      <t> на місяць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</si>
  <si>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Споживач</t>
    </r>
  </si>
  <si>
    <r>
      <t xml:space="preserve">виданий </t>
    </r>
    <r>
      <rPr>
        <sz val="10"/>
        <color theme="1"/>
        <rFont val="Calibri"/>
        <family val="2"/>
        <charset val="204"/>
        <scheme val="minor"/>
      </rPr>
      <t xml:space="preserve">___________________ </t>
    </r>
  </si>
  <si>
    <t>(ініціали, прізвище)</t>
  </si>
  <si>
    <t>М.П.                                            (підпис)</t>
  </si>
  <si>
    <t xml:space="preserve">Керівник  </t>
  </si>
  <si>
    <t>Достовірність інформації гарантую</t>
  </si>
  <si>
    <t>**не заповнюється у разі визначена згідно з рішенням органу місцевого самоврядування як окремої комунальної послуги</t>
  </si>
  <si>
    <t>* заповнюється у разі виконання відповідних послуг сторонньою організацією</t>
  </si>
  <si>
    <t>Примітка</t>
  </si>
  <si>
    <t>Всього для квартир (житлових приміщень у гуртожитку) та нежитлових приміщень у житловому будинку (гуртожитку), які мають окремі виходи безпосередньо на сходові клітки, що влаштовані з урахуванням вимог державних будівельних норм та зазначені у технічних паспортах на нежитлові приміщення.</t>
  </si>
  <si>
    <t>Вартість робіт з технічного обслуговування та поточного ремонту систем протипожежної автоматики та димовидалення, а також за наявності інших внутрішньобудинкових інженерних систем</t>
  </si>
  <si>
    <t>Витрати з дератизації </t>
  </si>
  <si>
    <t xml:space="preserve">Витрати з обслуговування систем диспетчеризації (підтримання в робочому стані систем у ліфті, на вході до ліфта та на робочому місці диспетчера) </t>
  </si>
  <si>
    <t>Витрати з вивезення побутових відходів нараховані для фізичних осіб, реєстрація місця проживання яких здійснена за адресою житлового будинку (гуртожитку)**</t>
  </si>
  <si>
    <t>№</t>
  </si>
  <si>
    <t>Економічно обґрунтовані плановані витрати, які включаються до тарифів на послуги з утримання будинків і споруд та прибудинкових територій</t>
  </si>
  <si>
    <t>Всього у відсотках до фонду заробітної плати основних робітників</t>
  </si>
  <si>
    <t>інші витрати адміністративного призначення</t>
  </si>
  <si>
    <t>2.15</t>
  </si>
  <si>
    <t>сплати податків і зборів (обов'язкових платежів), крім тих, що включаються у виробничу собівартість,</t>
  </si>
  <si>
    <t>2.14</t>
  </si>
  <si>
    <t>підготовки (перепідготовки) кадрів</t>
  </si>
  <si>
    <t>2.13</t>
  </si>
  <si>
    <t>охорони праці та техніки безпеки</t>
  </si>
  <si>
    <t>2.12</t>
  </si>
  <si>
    <t>утримання та поточного ремонту основних засобів загальногосподарського призначення</t>
  </si>
  <si>
    <t>2.11</t>
  </si>
  <si>
    <t>амортизації основних засобів адміністративного призначення</t>
  </si>
  <si>
    <t>2.10</t>
  </si>
  <si>
    <t>відрахуваннями із заробітної плати внесків до Пенсійного фонду України та інших фондів соціального страхування</t>
  </si>
  <si>
    <t>2.9</t>
  </si>
  <si>
    <t>оплати праці загальногосподарського персоналу</t>
  </si>
  <si>
    <t>2.8</t>
  </si>
  <si>
    <t>оплати аудиторських перевірок, робіт (послуг) консультаційного та інформаційного характеру</t>
  </si>
  <si>
    <t>2.7</t>
  </si>
  <si>
    <t>оплати вартості використання та обслуговування технічних засобів управління (обчислювальних центрів, вузлів зв'язку, засобів сигналізації), канцелярські та поштово-телеграфні витрати</t>
  </si>
  <si>
    <t>2.6</t>
  </si>
  <si>
    <t>забезпечення пожежної та сторожової охорони об'єктів адміністративного призначення</t>
  </si>
  <si>
    <t>2.5</t>
  </si>
  <si>
    <t>оплати службових відряджень персоналу управління підприємством</t>
  </si>
  <si>
    <t>2.4</t>
  </si>
  <si>
    <t>2.3</t>
  </si>
  <si>
    <t>оплати праці персоналу управління підприємством</t>
  </si>
  <si>
    <t>2.2</t>
  </si>
  <si>
    <t>утримання апарату управління підприємством</t>
  </si>
  <si>
    <t>2.1</t>
  </si>
  <si>
    <t>Адміністративні витрати:</t>
  </si>
  <si>
    <t>забезпечення пожежної та сторожової охорони об'єктів виробничого призначення</t>
  </si>
  <si>
    <t>1.9</t>
  </si>
  <si>
    <t>охорони праці</t>
  </si>
  <si>
    <t>1.8</t>
  </si>
  <si>
    <t>утримання основних засобів виробничого призначення та їх поточного ремонту</t>
  </si>
  <si>
    <t>1.7</t>
  </si>
  <si>
    <t>амортизації основних засобів виробничого призначення, крім амортизації, що включається у витрати з утримання та експлуатації машин і обладнання</t>
  </si>
  <si>
    <t>1.6</t>
  </si>
  <si>
    <t>оплати службових відряджень працівників апарату управління виробництвом</t>
  </si>
  <si>
    <t>1.5</t>
  </si>
  <si>
    <t>1.4</t>
  </si>
  <si>
    <t>витрати з оплати праці виробничого персоналу (комірники, молодший обслуговуючий персонал тощо)</t>
  </si>
  <si>
    <t>1.3</t>
  </si>
  <si>
    <t>1.2</t>
  </si>
  <si>
    <t>витрати з оплати праці апарату управління виробництвом</t>
  </si>
  <si>
    <t>1.1</t>
  </si>
  <si>
    <t>Загальновиробничі витрати:</t>
  </si>
  <si>
    <t>грн</t>
  </si>
  <si>
    <t>Витрати</t>
  </si>
  <si>
    <t>Розрахунок накладних витрат</t>
  </si>
  <si>
    <t>x</t>
  </si>
  <si>
    <t>грн/один  засіб обліку</t>
  </si>
  <si>
    <t>Витрати із розрахунку на 1 квартирний засіб обліку</t>
  </si>
  <si>
    <t>Загальна кількість квартирних засобів обліку води та теплової енергії</t>
  </si>
  <si>
    <t>Вартість проведення періодичної повірки, обслуговування і ремонту квартирних засобів обліку води та теплової енергії, у тому числі їх демонтажу, транспортування та монтажу після повірки</t>
  </si>
  <si>
    <t>грн на місяць</t>
  </si>
  <si>
    <t>од. виміру</t>
  </si>
  <si>
    <t>Складові витрат</t>
  </si>
  <si>
    <t xml:space="preserve">кВт/г </t>
  </si>
  <si>
    <t>Середня кількість електроенергії для одного ліфта з розрахунку на місяць</t>
  </si>
  <si>
    <t>грн за 1 кВт·г </t>
  </si>
  <si>
    <t>Тариф на електроенергію</t>
  </si>
  <si>
    <t>Сумарна загальна площа квартир (житлових приміщень у гуртожитку), нежитлових приміщень у житловому будинку (гуртожитку) (крім квартир першого поверху та нежитлових приміщень у житловому будинку (гуртожитку), що не мають окремих виходів безпосередньо на сходові клітки).</t>
  </si>
  <si>
    <t>Кількість електроенергії, що використовується для освітлення місць загального користування, підвальних приміщень та підкачування води з розрахунку на місяць</t>
  </si>
  <si>
    <t>грн за 1 кВт·г</t>
  </si>
  <si>
    <t>Вартість послуг субпідрядних організацій*</t>
  </si>
  <si>
    <t>%</t>
  </si>
  <si>
    <t>Загальна ставка відрахувань до Пенсійного фонду та інших фондів соціального страхування</t>
  </si>
  <si>
    <t>осіб</t>
  </si>
  <si>
    <t>Кількість осіб персоналу</t>
  </si>
  <si>
    <t>Норма осблуговування 1 особою (електромонтером) силових електроустановок (електродвигунів)</t>
  </si>
  <si>
    <t>квартир</t>
  </si>
  <si>
    <t>Норма обслуговування 1 особою (електромонтером) прихованої (відкритої) проводки</t>
  </si>
  <si>
    <t>Сумарна загальна площа (зазначена у технічному паспорті житлового будинку (гуртожитку) квартир (житлових приміщень у гуртожитку) та нежитлових приміщень у житловому будинку (гуртожитку)</t>
  </si>
  <si>
    <t>місяців</t>
  </si>
  <si>
    <t>Строк експлуатації номерних знаків</t>
  </si>
  <si>
    <t>Кількість знаків на будинку</t>
  </si>
  <si>
    <t>Вартість номерного знака</t>
  </si>
  <si>
    <t xml:space="preserve">Вартість прибирання і вивезення снігу, посипання призначеної для проходу та проїзду частини прибудинкової території протиожеледними </t>
  </si>
  <si>
    <t>Індивідуальна норм прибирання і вивезення снігу та посипання протиожеледними сумішами</t>
  </si>
  <si>
    <t>Ціна 1 куб. метра води, використаної для поливання</t>
  </si>
  <si>
    <t>днів</t>
  </si>
  <si>
    <t>Розрахункова кількість днів за пору року, коли проводиться поливання газонів та (або) клумб</t>
  </si>
  <si>
    <t>Розрахункова кількість днів за пору року, коли проводиться поливання дворів</t>
  </si>
  <si>
    <t>Норма витрат води з поливання газонів та (або) клумб</t>
  </si>
  <si>
    <t>Норма витрат води з поливання дворів</t>
  </si>
  <si>
    <t>Площа газонів та (або) клумб</t>
  </si>
  <si>
    <t>Площа дворів</t>
  </si>
  <si>
    <t>Вартість ремонту елементів зовнішнього упорідження, розташованих на закріпленій в установленому порядку прибудинковій території (зокрема, спортивних, дитячих та інших майданчиків)</t>
  </si>
  <si>
    <t>Вартість робіт з підготовки житлового фонду до сезонної експлуатації</t>
  </si>
  <si>
    <t>Вартість ремонту технічних пристроїв будинку</t>
  </si>
  <si>
    <t>Вартість ремонту внутрішньобудинкових систем гарячого і холодного водопостачання, водовідведення, централізованого опалення та зливової каналізації</t>
  </si>
  <si>
    <t>Вартість ремонту конструктивних елементів</t>
  </si>
  <si>
    <t xml:space="preserve">Накладні витрати </t>
  </si>
  <si>
    <t xml:space="preserve">Норма обслуговування 1 особою (пічником) вентиляційних каналів і каналів для відведення продуктів згоряння газу в нагрівальних приладах і газифікованих печах </t>
  </si>
  <si>
    <t xml:space="preserve">Норма обслуговування  1 особою (пічником)  опалювальних печей і домашніх вогнищ </t>
  </si>
  <si>
    <t>Нормативна кількість димовентиляційних каналів</t>
  </si>
  <si>
    <t>Фактична кількість димовентиляційних каналів</t>
  </si>
  <si>
    <t xml:space="preserve">Вартість проведення робіт з дезінсекції, визначена згідно з калькуляцією відповідної санітарно-епідеміологічної служби </t>
  </si>
  <si>
    <t>Площа підвалу (першого поверху) житлового будинку (гуртожитку)</t>
  </si>
  <si>
    <t>грн/шт</t>
  </si>
  <si>
    <t>Середньомісячний тариф на проведення дератизаційних робіт в одній сміттєприймальній камері будинку</t>
  </si>
  <si>
    <t xml:space="preserve">Середньомісячний тариф на проведення дератизаційних робіт </t>
  </si>
  <si>
    <t>Кількість сміттєприймальних камер будинку</t>
  </si>
  <si>
    <t>Кількість одиниць персоналу з врахуванням утримання аварійної служби</t>
  </si>
  <si>
    <t>Норма обслуговування  на 1 особу (електрогазозварника)</t>
  </si>
  <si>
    <t>Норма обслуговування на 1 особою (слюсарем-сантехніком) систем водопідкачування</t>
  </si>
  <si>
    <t>Норма обслуговування на 1 особою (слюсарем-сантехніком) систем холодного водопостачання і зливової каналізації</t>
  </si>
  <si>
    <t>Норма обслуговування на 1 особою (слюсарем-сантехніком) систем централізованого опалення</t>
  </si>
  <si>
    <t>Норма обслуговування на 1 особою (слюсарем-сантехніком) систем гарячого водопостачання</t>
  </si>
  <si>
    <t>Матеріальні витрат</t>
  </si>
  <si>
    <t>Сумарна загальна площа квартир (житлових приміщень у гуртожитку), нежитлових приміщень у житловому будинку (гуртожитку) (крім квартир першого поверху та нежитлових приміщень у житловому будинку (гуртожитку), що не мають окремих виходів безпосередньо на сходові клітки)</t>
  </si>
  <si>
    <t>грн. на місяць</t>
  </si>
  <si>
    <t>Вартість обслуговування (без електроенергії) одного ліфта з розрахунку на місяць (обчислюється відповідно до Порядку встановлення вартості технічного обслуговування ліфтів та систем диспетчеризації, затвердженого Мінрегіоном, з урахуванням висновку Держцінінспекції щодо розрахунків економічно обґрунтованих планових витрат на послуги з технічного обслуговування одного базового ліфта)</t>
  </si>
  <si>
    <t>Вартітсь вивезення ремонтних відходів</t>
  </si>
  <si>
    <t>Вартість вивезення рідких відходів</t>
  </si>
  <si>
    <t>Вартість вивезення великогабаритних відходів</t>
  </si>
  <si>
    <t>Вартість вивезення твердих побутових відходів</t>
  </si>
  <si>
    <t>Норма вивезення  рідких відходів на одну фізичну особу</t>
  </si>
  <si>
    <t xml:space="preserve">Норма вивезення  ремонтних відходів на одну фізичну особу </t>
  </si>
  <si>
    <t>Норма вивезення великогабаритних відходів на одну фізичну особу</t>
  </si>
  <si>
    <t>Кількість зареєстрованих фізичних осіб</t>
  </si>
  <si>
    <t>Сумарна загальна площа (зазначена у технічному паспорті житлового будинку (гуртожитку) квартир (житлових приміщень у гуртожитку)</t>
  </si>
  <si>
    <t>Кількість одиниць персоналу</t>
  </si>
  <si>
    <t>Норма обслуговування на 1 особу (прибиральника)</t>
  </si>
  <si>
    <t>Площа сходових кліток, маршів, місць загального користування</t>
  </si>
  <si>
    <t>Сумарна загальна площа (зазначена у технічному паспорті житлового будинку (гуртожитку) квартир (житлових приміщень у гуртожитку) та нежитлових приміщень у житловому будинку (гуртожитку), які мають окремі виходи безпосередньо на сходові клітки, що влаштовані з урахуванням вимог державних будівельних норм та зазначені у технічних паспортах на нежитлові приміщення.</t>
  </si>
  <si>
    <t>Норма обслуговування на 1 особу (двірника)</t>
  </si>
  <si>
    <t>КАЛЬКУЛЯЦІЯ РОЗРАХУНКУ 
економічно обґрунтованих планованих витрат, які включаються до тарифів на послуги з утримання будинків і споруд та прибудинкових територій</t>
  </si>
  <si>
    <t>Додаток 6
до Порядку надання висновків щодо розрахунків економічно обґрунтованих планованих витрат під час формування тарифів на окремі види житлово-комунальних послуг</t>
  </si>
  <si>
    <r>
      <t>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</si>
  <si>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>Витрати із розрахунку на 1 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</si>
  <si>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>грн/м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</si>
  <si>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0"/>
        <color indexed="8"/>
        <rFont val="Calibri"/>
        <family val="2"/>
        <charset val="204"/>
        <scheme val="minor"/>
      </rPr>
      <t>3</t>
    </r>
  </si>
  <si>
    <r>
      <t>грн./м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</si>
  <si>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 xml:space="preserve">Витрати із розрахунку на 1 м 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</si>
  <si>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 xml:space="preserve">м 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</si>
  <si>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 xml:space="preserve">грн/м 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</si>
  <si>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0"/>
        <color indexed="8"/>
        <rFont val="Calibri"/>
        <family val="2"/>
        <charset val="204"/>
        <scheme val="minor"/>
      </rPr>
      <t>3</t>
    </r>
    <r>
      <rPr>
        <sz val="10"/>
        <color indexed="8"/>
        <rFont val="Calibri"/>
        <family val="2"/>
        <charset val="204"/>
        <scheme val="minor"/>
      </rPr>
      <t>/м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</si>
  <si>
    <r>
      <t>грн/м</t>
    </r>
    <r>
      <rPr>
        <vertAlign val="superscript"/>
        <sz val="10"/>
        <color indexed="8"/>
        <rFont val="Calibri"/>
        <family val="2"/>
        <charset val="204"/>
        <scheme val="minor"/>
      </rPr>
      <t>3</t>
    </r>
  </si>
  <si>
    <r>
      <t>грн/м</t>
    </r>
    <r>
      <rPr>
        <vertAlign val="superscript"/>
        <sz val="10"/>
        <color indexed="8"/>
        <rFont val="Calibri"/>
        <family val="2"/>
        <charset val="204"/>
        <scheme val="minor"/>
      </rPr>
      <t>2</t>
    </r>
    <r>
      <rPr>
        <sz val="10"/>
        <color indexed="8"/>
        <rFont val="Calibri"/>
        <family val="2"/>
        <charset val="204"/>
        <scheme val="minor"/>
      </rPr>
      <t xml:space="preserve"> на місяць</t>
    </r>
  </si>
  <si>
    <t>Норма вивезення твердих побутових відходів на одну фізичну особу з сміттєпроводом</t>
  </si>
  <si>
    <t>Норма вивезення твердих побутових відходів на одну фізичну особу без сміттєпровода</t>
  </si>
  <si>
    <t>Тариф за вивезення 1 куб.м твердих побутових відходів (без ПДВ)</t>
  </si>
  <si>
    <t>Тариф за прийом і знешкодження 1 куб.м твердих побутових відходів (без ПДВ)</t>
  </si>
  <si>
    <t>Кількість сміттєпроводів у будинку</t>
  </si>
  <si>
    <t>Кількість ліфтів у житловому будинку (гуртожитку): приведена</t>
  </si>
  <si>
    <t>0.0842</t>
  </si>
  <si>
    <t>1215.5</t>
  </si>
  <si>
    <t>0.2794</t>
  </si>
  <si>
    <t>32.8873</t>
  </si>
  <si>
    <t>18.6041</t>
  </si>
  <si>
    <t>50.5959</t>
  </si>
  <si>
    <t>11.676</t>
  </si>
  <si>
    <t>0.0003</t>
  </si>
  <si>
    <t>38.9196</t>
  </si>
  <si>
    <t>1858.14</t>
  </si>
  <si>
    <t>0.0209</t>
  </si>
  <si>
    <t>30.0</t>
  </si>
  <si>
    <t>0.0008</t>
  </si>
  <si>
    <t>1.0</t>
  </si>
  <si>
    <t>відпу скні</t>
  </si>
  <si>
    <t>відсо ток нічних свят кових</t>
  </si>
  <si>
    <t>відсо ток відпу скних (від окладу)</t>
  </si>
  <si>
    <t>відсоток додат кової оплати (премія)</t>
  </si>
  <si>
    <t>відсо ток шкідли вості</t>
  </si>
  <si>
    <t>міжга лузевий коефі цієнт</t>
  </si>
  <si>
    <t>коефі цієнт по роз ряду</t>
  </si>
  <si>
    <t>Кіль кість праців ників (врахо вуючи коефі цієнт неви ходу 1.0)</t>
  </si>
  <si>
    <t>1147.0 - мінімальна заробітна плата, грн.Разрахунок заробітної плати</t>
  </si>
  <si>
    <t>0.0064</t>
  </si>
  <si>
    <t>0.0145</t>
  </si>
  <si>
    <t>Агатангела Кримського, 8</t>
  </si>
  <si>
    <t xml:space="preserve"> - Нормативна кількість вентиляційних каналів і каналів для відведення продуктів згоряння газу в нагрівальних приладах і газифікованих печах, шт. на 1 пічника</t>
  </si>
  <si>
    <t xml:space="preserve"> - Нормативна кількість опалювальних печей і домашніх вогнищ(включаючи димові канали), шт. на 1 пічника</t>
  </si>
  <si>
    <t>коефіцієнт співвідношення (Галузева угода розділ 3. п.3.1.3)</t>
  </si>
  <si>
    <t>Кількість разів проведення дератизації на рік (не менше 1)</t>
  </si>
  <si>
    <t>разів</t>
  </si>
  <si>
    <t>Розрахунок заробітньої плати на одного слюсаря-сантехніка :</t>
  </si>
  <si>
    <t>О = 2229.77+445.95= 2675.72</t>
  </si>
  <si>
    <t>де О– місячна заробітна</t>
  </si>
  <si>
    <t>1.2 – коефіцієнт згідно з галузевою угодою</t>
  </si>
  <si>
    <t>1.35 – міжрозрядний коефіцієнт до IV розряду</t>
  </si>
  <si>
    <t>1.2 – 120% до розміру мінімальної заробітньої плати робітника І розряду</t>
  </si>
  <si>
    <t>1.2 – додатковий коефіцієнт до заробітньої плати( премія, надбавки тощо). У нашому випадку премія</t>
  </si>
  <si>
    <t>Розрахунок заробітньої плати на одного електрогазозварювальника:</t>
  </si>
  <si>
    <t>О = 2543.59 + 508.72= 3052.31</t>
  </si>
  <si>
    <t>1.54 – міжрозрядний коефіцієнт до V розряду</t>
  </si>
  <si>
    <t>Норма чисельності на 1 слюсаря-сантехніка на обслуговування систем холодного водопостачання та водовідведення 310 квартир</t>
  </si>
  <si>
    <t>Еквівалент на проф..огляди та непередбачені ремонти складає 56% на водопостачання та водовідведення, 25% на центральне опалення</t>
  </si>
  <si>
    <t>Чисельність слюсарів-сантехників на обслуговування систем холодного водопостачання та водовідведення:</t>
  </si>
  <si>
    <t>Чс = 72: 310 · 56% = 0.1301 люд</t>
  </si>
  <si>
    <t>Чисельність слюсарів-сантехників на обслуговування систем горячого водопостачання:</t>
  </si>
  <si>
    <t>Норма чисельності на 1 слюсаря-сантехніка на обслуговування систем холодного водопостачання та водовідведення 65100 кв.м</t>
  </si>
  <si>
    <t>Чисельність електрогазозварювальників:</t>
  </si>
  <si>
    <t>Норма чисельності на 1 слюсаря-сантехніка на обслуговування систем холодного водопостачання та водовідведення 35600 кв.м</t>
  </si>
  <si>
    <t>Заробітна плата на місяць слюсаря-сантехніка (0.0241+0.1301)∙2675.72=412.52</t>
  </si>
  <si>
    <t>Відрахування зі заробітньої плати внесків до Пенсійного фонду України та інших фондів соціального страхування : (Вф) : 472.34·36,77% = 173.68</t>
  </si>
  <si>
    <t>Накладні витрати 60% : (Н) 472.34· 60% = 283.40</t>
  </si>
  <si>
    <t>Спецодяг на 1 електрогазозварювальника на рік :344 грн</t>
  </si>
  <si>
    <t>Інвентар на 1 електрогазозварювальника на рік : 56 грн</t>
  </si>
  <si>
    <t>Спецодяг на 1 слюсаря-сантехніка на рік : 268 грн</t>
  </si>
  <si>
    <t>Інвентар на 1 слюсаря-сантехніка на рік : 150 грн</t>
  </si>
  <si>
    <t>Спецодяг на електрогазозварювальника на рік :344 грн· 0.0196=6.74 грн</t>
  </si>
  <si>
    <t>Інвентар на електрогазозварювальника на рік : 56 грн· 0.0196=1.10 грн</t>
  </si>
  <si>
    <t>Спецодяг на слюсаря-сантехніка на рік : 268 грн· 0.1542= 41.33 грн</t>
  </si>
  <si>
    <t>Інвентар на слюсаря-сантехніка на рік : 150 грн· 0.1542=23.13 грн</t>
  </si>
  <si>
    <t>В = (472.34 +173.68 +283.4 + 6.03 + 0) : 2796.6=0.3345 грн</t>
  </si>
  <si>
    <t>Витрати з технічне обслуговування внутрішньобудинкових систем гарячого і холодного водопостачання, 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 будинкових мережах водовідведення, централізованого опалення і зливової каналізації та з ліквідації аварій у будинкових мережах визначається за формулою:</t>
  </si>
  <si>
    <r>
      <t>В = (О</t>
    </r>
    <r>
      <rPr>
        <vertAlign val="subscript"/>
        <sz val="11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 xml:space="preserve"> + В</t>
    </r>
    <r>
      <rPr>
        <vertAlign val="subscript"/>
        <sz val="11"/>
        <color theme="1"/>
        <rFont val="Calibri"/>
        <family val="2"/>
        <charset val="204"/>
        <scheme val="minor"/>
      </rPr>
      <t>ф</t>
    </r>
    <r>
      <rPr>
        <sz val="11"/>
        <color theme="1"/>
        <rFont val="Calibri"/>
        <family val="2"/>
        <charset val="204"/>
        <scheme val="minor"/>
      </rPr>
      <t xml:space="preserve"> + Н + М + І) : П</t>
    </r>
    <r>
      <rPr>
        <vertAlign val="subscript"/>
        <sz val="11"/>
        <color theme="1"/>
        <rFont val="Calibri"/>
        <family val="2"/>
        <charset val="204"/>
        <scheme val="minor"/>
      </rPr>
      <t>з</t>
    </r>
  </si>
  <si>
    <r>
      <t>О = О</t>
    </r>
    <r>
      <rPr>
        <vertAlign val="subscript"/>
        <sz val="11"/>
        <color theme="1"/>
        <rFont val="Calibri"/>
        <family val="2"/>
        <charset val="204"/>
        <scheme val="minor"/>
      </rPr>
      <t>ос</t>
    </r>
    <r>
      <rPr>
        <sz val="11"/>
        <color theme="1"/>
        <rFont val="Calibri"/>
        <family val="2"/>
        <charset val="204"/>
        <scheme val="minor"/>
      </rPr>
      <t xml:space="preserve"> +О</t>
    </r>
    <r>
      <rPr>
        <vertAlign val="subscript"/>
        <sz val="11"/>
        <color theme="1"/>
        <rFont val="Calibri"/>
        <family val="2"/>
        <charset val="204"/>
        <scheme val="minor"/>
      </rPr>
      <t>д</t>
    </r>
  </si>
  <si>
    <r>
      <t>О</t>
    </r>
    <r>
      <rPr>
        <vertAlign val="subscript"/>
        <sz val="11"/>
        <color theme="1"/>
        <rFont val="Calibri"/>
        <family val="2"/>
        <charset val="204"/>
        <scheme val="minor"/>
      </rPr>
      <t>ос</t>
    </r>
    <r>
      <rPr>
        <sz val="11"/>
        <color theme="1"/>
        <rFont val="Calibri"/>
        <family val="2"/>
        <charset val="204"/>
        <scheme val="minor"/>
      </rPr>
      <t xml:space="preserve"> = 1147∙ 1,2∙ 1,35∙ 1.2 =2229.77</t>
    </r>
  </si>
  <si>
    <r>
      <t>О</t>
    </r>
    <r>
      <rPr>
        <vertAlign val="sub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 = О</t>
    </r>
    <r>
      <rPr>
        <vertAlign val="subscript"/>
        <sz val="11"/>
        <color theme="1"/>
        <rFont val="Calibri"/>
        <family val="2"/>
        <charset val="204"/>
        <scheme val="minor"/>
      </rPr>
      <t>ос</t>
    </r>
    <r>
      <rPr>
        <sz val="11"/>
        <color theme="1"/>
        <rFont val="Calibri"/>
        <family val="2"/>
        <charset val="204"/>
        <scheme val="minor"/>
      </rPr>
      <t xml:space="preserve"> ∙ 20% =2229.77∙ 20% = 445.95</t>
    </r>
  </si>
  <si>
    <t>де О– місячна заробітна плата</t>
  </si>
  <si>
    <r>
      <t>О</t>
    </r>
    <r>
      <rPr>
        <vertAlign val="subscript"/>
        <sz val="11"/>
        <color theme="1"/>
        <rFont val="Calibri"/>
        <family val="2"/>
        <charset val="204"/>
        <scheme val="minor"/>
      </rPr>
      <t>ос</t>
    </r>
    <r>
      <rPr>
        <sz val="11"/>
        <color theme="1"/>
        <rFont val="Calibri"/>
        <family val="2"/>
        <charset val="204"/>
        <scheme val="minor"/>
      </rPr>
      <t xml:space="preserve"> = 1147∙ 1,2∙ 1,54∙ 1.2 =2543.59</t>
    </r>
  </si>
  <si>
    <r>
      <t>О</t>
    </r>
    <r>
      <rPr>
        <vertAlign val="subscript"/>
        <sz val="11"/>
        <color theme="1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 = О</t>
    </r>
    <r>
      <rPr>
        <vertAlign val="subscript"/>
        <sz val="11"/>
        <color theme="1"/>
        <rFont val="Calibri"/>
        <family val="2"/>
        <charset val="204"/>
        <scheme val="minor"/>
      </rPr>
      <t>ос</t>
    </r>
    <r>
      <rPr>
        <sz val="11"/>
        <color theme="1"/>
        <rFont val="Calibri"/>
        <family val="2"/>
        <charset val="204"/>
        <scheme val="minor"/>
      </rPr>
      <t xml:space="preserve"> ∙ 20% =2543.59∙ 20% = 508.72</t>
    </r>
  </si>
  <si>
    <t>Норма чисельності на 1 слюсаря-сантехніка на обслуговування систем центрального опалення: 35600 кв.м.</t>
  </si>
  <si>
    <r>
      <t>Ч</t>
    </r>
    <r>
      <rPr>
        <vertAlign val="subscript"/>
        <sz val="11"/>
        <color theme="1"/>
        <rFont val="Calibri"/>
        <family val="2"/>
        <charset val="204"/>
        <scheme val="minor"/>
      </rPr>
      <t>с1</t>
    </r>
    <r>
      <rPr>
        <sz val="11"/>
        <color theme="1"/>
        <rFont val="Calibri"/>
        <family val="2"/>
        <charset val="204"/>
        <scheme val="minor"/>
      </rPr>
      <t xml:space="preserve"> = 2796,6: 65100 · 56% = 0.0241 люд</t>
    </r>
  </si>
  <si>
    <r>
      <t>Ч</t>
    </r>
    <r>
      <rPr>
        <vertAlign val="subscript"/>
        <sz val="11"/>
        <color theme="1"/>
        <rFont val="Calibri"/>
        <family val="2"/>
        <charset val="204"/>
        <scheme val="minor"/>
      </rPr>
      <t>з</t>
    </r>
    <r>
      <rPr>
        <sz val="11"/>
        <color theme="1"/>
        <rFont val="Calibri"/>
        <family val="2"/>
        <charset val="204"/>
        <scheme val="minor"/>
      </rPr>
      <t xml:space="preserve"> = 2796,6: 35600 · 25% = 0.0196 люд</t>
    </r>
  </si>
  <si>
    <t>Заробітна плата на місяць електрогазозварювальника: 0.0196·3052.31=59.82</t>
  </si>
  <si>
    <r>
      <t>Заробітна плата на місяць (О</t>
    </r>
    <r>
      <rPr>
        <vertAlign val="subscript"/>
        <sz val="11"/>
        <color theme="1"/>
        <rFont val="Calibri"/>
        <family val="2"/>
        <charset val="204"/>
        <scheme val="minor"/>
      </rPr>
      <t>зп</t>
    </r>
    <r>
      <rPr>
        <sz val="11"/>
        <color theme="1"/>
        <rFont val="Calibri"/>
        <family val="2"/>
        <charset val="204"/>
        <scheme val="minor"/>
      </rPr>
      <t>) : 472.34</t>
    </r>
  </si>
  <si>
    <t>Тариф для квартир першого поверху</t>
  </si>
  <si>
    <t>Тариф для квартир другого і вище поверхів</t>
  </si>
  <si>
    <t>2. Прибирання сходових кліток</t>
  </si>
  <si>
    <t>5. Технічне обслуговування ліфтів</t>
  </si>
  <si>
    <t>6. Обслуговування систем диспетчеризації</t>
  </si>
  <si>
    <t>8. Дератизація</t>
  </si>
  <si>
    <t>9. Дезінсекція</t>
  </si>
  <si>
    <t>в тому числі :</t>
  </si>
  <si>
    <t>Тариф для нежитлових приміщень з окремим входом</t>
  </si>
  <si>
    <t>Тариф для нежитлових приміщень без окремого входу</t>
  </si>
  <si>
    <t>3. Вивезення  побутових  відходів (збирання, зберігання, перевезення, перероблення, утилізація, знешкодження та захоронення)</t>
  </si>
  <si>
    <t>4. Прибирання підваліу, технічних поверхів та покрівлі</t>
  </si>
  <si>
    <t>7.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</si>
  <si>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10. Обслуговування димових та вентиляційних каналів</t>
  </si>
  <si>
    <t>11. 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</si>
  <si>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12.Поточний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</si>
  <si>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13. Прибирання і вивезення снігу, посипання частини прибудинкової території, призначеної для проходу та проїзду, протиожеледними сумішами</t>
  </si>
  <si>
    <t>14. Експлуатація номерних знаків на будинках</t>
  </si>
  <si>
    <t xml:space="preserve">15. Освітлення місць загального користування і підвалів </t>
  </si>
  <si>
    <t>16. Енергопостачання ліфтів</t>
  </si>
  <si>
    <t>Темп росту</t>
  </si>
  <si>
    <t>1. Прибирання прибудинкової території</t>
  </si>
  <si>
    <t>грн./м2 (з ПДВ)</t>
  </si>
  <si>
    <t>вул. Кривулевського, 2</t>
  </si>
  <si>
    <t>вул. Смирнова, 34</t>
  </si>
  <si>
    <t>вул. Любечська, 21</t>
  </si>
  <si>
    <t>пр-т Миру 186</t>
  </si>
  <si>
    <t>пр-т Миру 182</t>
  </si>
  <si>
    <t>вул. Мстиславська 132</t>
  </si>
  <si>
    <t>вул. Шевченко 45</t>
  </si>
  <si>
    <t>вул. Освіти 26</t>
  </si>
  <si>
    <t>пр-т Перемоги, 21</t>
  </si>
  <si>
    <t>вул. Шевчука, 14</t>
  </si>
  <si>
    <t>вул. Ак.Павлова19</t>
  </si>
  <si>
    <t>Тарифи на послуги з утримання будинків та прибудинкових територій Житловокомунального підприємства Чернігівської обласної корпорації агропромислового будівництва</t>
  </si>
  <si>
    <t>вул. Громадська, 19</t>
  </si>
  <si>
    <t>вул. І.Богуна, 54</t>
  </si>
  <si>
    <t>вул. І.Богуна, 58</t>
  </si>
  <si>
    <t>вул. О.Міхнюка, 9</t>
  </si>
  <si>
    <t>пр-т Перемоги, 205</t>
  </si>
  <si>
    <t>Діючий тариф з 03.09.2017р</t>
  </si>
  <si>
    <t>додаток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</si>
</sst>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г_р_н_._-;\-* #,##0.00\ _г_р_н_._-;_-* &quot;-&quot;??\ _г_р_н_._-;_-@_-"/>
    <numFmt numFmtId="165" formatCode="0.0"/>
    <numFmt numFmtId="166" formatCode="0.0000"/>
    <numFmt numFmtId="167" formatCode="0.0%"/>
    <numFmt numFmtId="168" formatCode="0.000"/>
    <numFmt numFmtId="169" formatCode="_-* #,##0\ _г_р_н_._-;\-* #,##0\ _г_р_н_._-;_-* &quot;-&quot;??\ _г_р_н_._-;_-@_-"/>
    <numFmt numFmtId="170" formatCode="&quot; &quot;#,##0.00&quot;         &quot;;&quot;-&quot;#,##0.00&quot;         &quot;;&quot; -&quot;#&quot;         &quot;;@&quot; &quot;"/>
    <numFmt numFmtId="171" formatCode="#,##0.00[$руб.-419];[Red]&quot;-&quot;#,##0.00[$руб.-419]"/>
  </numFmts>
  <fonts count="9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2"/>
      <color theme="1"/>
      <name val="Times New Roman"/>
      <family val="1"/>
      <charset val="204"/>
    </font>
    <font>
      <b/>
      <sz val="10"/>
      <color indexed="63"/>
      <name val="Arial"/>
      <family val="2"/>
    </font>
    <font>
      <b/>
      <sz val="9"/>
      <color theme="1"/>
      <name val="Calibri"/>
      <family val="2"/>
      <charset val="204"/>
      <scheme val="minor"/>
    </font>
    <font>
      <b/>
      <sz val="9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b/>
      <sz val="11"/>
      <color indexed="63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indexed="63"/>
      <name val="Arial"/>
      <family val="2"/>
    </font>
    <font>
      <b/>
      <sz val="10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</font>
    <font>
      <sz val="10"/>
      <color indexed="63"/>
      <name val="Calibri"/>
      <family val="2"/>
      <charset val="204"/>
      <scheme val="minor"/>
    </font>
    <font>
      <sz val="8"/>
      <color indexed="63"/>
      <name val="Arial"/>
      <family val="2"/>
    </font>
    <font>
      <sz val="10"/>
      <color theme="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8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vertAlign val="superscript"/>
      <sz val="10"/>
      <color indexed="8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8"/>
      <color theme="1"/>
      <name val="Calibri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9" fontId="11" fillId="0" borderId="0" applyFont="0" applyFill="0" applyBorder="0" applyAlignment="0" applyProtection="0"/>
    <xf numFmtId="0" fontId="14" fillId="0" borderId="0"/>
    <xf numFmtId="9" fontId="18" fillId="0" borderId="0" applyFont="0" applyFill="0" applyBorder="0" applyAlignment="0" applyProtection="0"/>
    <xf numFmtId="0" fontId="14" fillId="0" borderId="0"/>
    <xf numFmtId="9" fontId="32" fillId="0" borderId="0" applyFont="0" applyFill="0" applyBorder="0" applyAlignment="0" applyProtection="0"/>
    <xf numFmtId="9" fontId="14" fillId="0" borderId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0" fontId="11" fillId="0" borderId="0"/>
    <xf numFmtId="0" fontId="37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170" fontId="66" fillId="0" borderId="0"/>
    <xf numFmtId="0" fontId="67" fillId="0" borderId="0">
      <alignment horizontal="center"/>
    </xf>
    <xf numFmtId="0" fontId="67" fillId="0" borderId="0">
      <alignment horizontal="center" textRotation="90"/>
    </xf>
    <xf numFmtId="0" fontId="68" fillId="0" borderId="0"/>
    <xf numFmtId="171" fontId="68" fillId="0" borderId="0"/>
    <xf numFmtId="0" fontId="11" fillId="0" borderId="0"/>
    <xf numFmtId="0" fontId="69" fillId="0" borderId="0"/>
    <xf numFmtId="0" fontId="37" fillId="0" borderId="0"/>
    <xf numFmtId="0" fontId="11" fillId="0" borderId="0"/>
    <xf numFmtId="0" fontId="9" fillId="0" borderId="0"/>
    <xf numFmtId="164" fontId="14" fillId="0" borderId="0" applyFont="0" applyFill="0" applyBorder="0" applyAlignment="0" applyProtection="0"/>
    <xf numFmtId="0" fontId="8" fillId="0" borderId="0"/>
    <xf numFmtId="0" fontId="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4" fillId="0" borderId="0"/>
    <xf numFmtId="0" fontId="3" fillId="0" borderId="0"/>
    <xf numFmtId="0" fontId="89" fillId="0" borderId="0" applyNumberFormat="0" applyFill="0" applyBorder="0" applyAlignment="0" applyProtection="0"/>
    <xf numFmtId="0" fontId="76" fillId="0" borderId="0">
      <alignment horizontal="left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/>
  </cellStyleXfs>
  <cellXfs count="876">
    <xf numFmtId="0" fontId="0" fillId="0" borderId="0" xfId="0"/>
    <xf numFmtId="0" fontId="0" fillId="0" borderId="1" xfId="0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6" fillId="0" borderId="0" xfId="4" applyFont="1"/>
    <xf numFmtId="0" fontId="16" fillId="2" borderId="20" xfId="4" applyFont="1" applyFill="1" applyBorder="1" applyAlignment="1">
      <alignment horizontal="center"/>
    </xf>
    <xf numFmtId="9" fontId="26" fillId="2" borderId="20" xfId="4" applyNumberFormat="1" applyFont="1" applyFill="1" applyBorder="1" applyAlignment="1">
      <alignment horizontal="center"/>
    </xf>
    <xf numFmtId="169" fontId="16" fillId="0" borderId="0" xfId="4" applyNumberFormat="1" applyFont="1"/>
    <xf numFmtId="2" fontId="16" fillId="0" borderId="0" xfId="4" applyNumberFormat="1" applyFont="1"/>
    <xf numFmtId="0" fontId="16" fillId="7" borderId="20" xfId="4" applyFont="1" applyFill="1" applyBorder="1" applyAlignment="1">
      <alignment horizontal="center"/>
    </xf>
    <xf numFmtId="0" fontId="16" fillId="0" borderId="1" xfId="4" applyFont="1" applyBorder="1"/>
    <xf numFmtId="0" fontId="26" fillId="0" borderId="4" xfId="4" applyFont="1" applyBorder="1" applyAlignment="1"/>
    <xf numFmtId="0" fontId="26" fillId="0" borderId="5" xfId="4" applyFont="1" applyBorder="1" applyAlignment="1"/>
    <xf numFmtId="0" fontId="26" fillId="0" borderId="6" xfId="4" applyFont="1" applyBorder="1" applyAlignment="1"/>
    <xf numFmtId="0" fontId="16" fillId="0" borderId="4" xfId="4" applyFont="1" applyBorder="1" applyAlignment="1">
      <alignment horizontal="left" wrapText="1"/>
    </xf>
    <xf numFmtId="0" fontId="30" fillId="0" borderId="0" xfId="4" applyFont="1"/>
    <xf numFmtId="49" fontId="27" fillId="2" borderId="20" xfId="4" applyNumberFormat="1" applyFont="1" applyFill="1" applyBorder="1" applyAlignment="1">
      <alignment horizontal="center" wrapText="1"/>
    </xf>
    <xf numFmtId="0" fontId="16" fillId="0" borderId="1" xfId="4" applyFont="1" applyBorder="1" applyAlignment="1">
      <alignment horizontal="left" wrapText="1"/>
    </xf>
    <xf numFmtId="2" fontId="26" fillId="0" borderId="3" xfId="4" applyNumberFormat="1" applyFont="1" applyFill="1" applyBorder="1" applyAlignment="1">
      <alignment horizontal="center" wrapText="1"/>
    </xf>
    <xf numFmtId="0" fontId="16" fillId="0" borderId="21" xfId="4" applyFont="1" applyFill="1" applyBorder="1" applyAlignment="1">
      <alignment horizontal="center" vertical="center" wrapText="1" shrinkToFit="1"/>
    </xf>
    <xf numFmtId="2" fontId="26" fillId="0" borderId="2" xfId="4" applyNumberFormat="1" applyFont="1" applyFill="1" applyBorder="1" applyAlignment="1">
      <alignment horizontal="center" wrapText="1"/>
    </xf>
    <xf numFmtId="0" fontId="16" fillId="0" borderId="22" xfId="4" applyFont="1" applyBorder="1" applyAlignment="1">
      <alignment horizontal="center"/>
    </xf>
    <xf numFmtId="0" fontId="16" fillId="0" borderId="22" xfId="4" applyFont="1" applyFill="1" applyBorder="1" applyAlignment="1">
      <alignment horizontal="center"/>
    </xf>
    <xf numFmtId="0" fontId="26" fillId="0" borderId="4" xfId="4" applyFont="1" applyFill="1" applyBorder="1" applyAlignment="1"/>
    <xf numFmtId="0" fontId="26" fillId="0" borderId="5" xfId="4" applyFont="1" applyFill="1" applyBorder="1" applyAlignment="1"/>
    <xf numFmtId="0" fontId="26" fillId="0" borderId="6" xfId="4" applyFont="1" applyFill="1" applyBorder="1" applyAlignment="1"/>
    <xf numFmtId="0" fontId="16" fillId="0" borderId="4" xfId="4" applyFont="1" applyBorder="1"/>
    <xf numFmtId="0" fontId="16" fillId="0" borderId="4" xfId="4" applyFont="1" applyBorder="1" applyAlignment="1"/>
    <xf numFmtId="0" fontId="16" fillId="0" borderId="5" xfId="4" applyFont="1" applyBorder="1" applyAlignment="1"/>
    <xf numFmtId="0" fontId="16" fillId="0" borderId="6" xfId="4" applyFont="1" applyBorder="1" applyAlignment="1"/>
    <xf numFmtId="2" fontId="16" fillId="0" borderId="3" xfId="4" applyNumberFormat="1" applyFont="1" applyFill="1" applyBorder="1" applyAlignment="1">
      <alignment horizontal="center" wrapText="1"/>
    </xf>
    <xf numFmtId="2" fontId="16" fillId="0" borderId="1" xfId="4" applyNumberFormat="1" applyFont="1" applyFill="1" applyBorder="1" applyAlignment="1">
      <alignment horizontal="center" wrapText="1"/>
    </xf>
    <xf numFmtId="0" fontId="16" fillId="0" borderId="0" xfId="4" applyFont="1" applyBorder="1"/>
    <xf numFmtId="2" fontId="16" fillId="0" borderId="0" xfId="4" applyNumberFormat="1" applyFont="1" applyBorder="1"/>
    <xf numFmtId="2" fontId="16" fillId="0" borderId="1" xfId="4" applyNumberFormat="1" applyFont="1" applyFill="1" applyBorder="1" applyAlignment="1">
      <alignment horizontal="right" wrapText="1"/>
    </xf>
    <xf numFmtId="1" fontId="16" fillId="0" borderId="1" xfId="4" applyNumberFormat="1" applyFont="1" applyFill="1" applyBorder="1" applyAlignment="1">
      <alignment horizontal="right" wrapText="1"/>
    </xf>
    <xf numFmtId="165" fontId="26" fillId="5" borderId="1" xfId="4" applyNumberFormat="1" applyFont="1" applyFill="1" applyBorder="1"/>
    <xf numFmtId="1" fontId="26" fillId="5" borderId="1" xfId="4" applyNumberFormat="1" applyFont="1" applyFill="1" applyBorder="1"/>
    <xf numFmtId="1" fontId="16" fillId="0" borderId="2" xfId="4" applyNumberFormat="1" applyFont="1" applyFill="1" applyBorder="1" applyAlignment="1">
      <alignment horizontal="right" wrapText="1"/>
    </xf>
    <xf numFmtId="0" fontId="26" fillId="5" borderId="1" xfId="4" applyNumberFormat="1" applyFont="1" applyFill="1" applyBorder="1"/>
    <xf numFmtId="9" fontId="28" fillId="2" borderId="20" xfId="4" applyNumberFormat="1" applyFont="1" applyFill="1" applyBorder="1" applyAlignment="1">
      <alignment horizontal="center"/>
    </xf>
    <xf numFmtId="167" fontId="16" fillId="0" borderId="0" xfId="5" applyNumberFormat="1" applyFont="1"/>
    <xf numFmtId="0" fontId="16" fillId="0" borderId="0" xfId="4" applyFont="1" applyAlignment="1">
      <alignment horizontal="left" wrapText="1"/>
    </xf>
    <xf numFmtId="2" fontId="16" fillId="0" borderId="26" xfId="4" applyNumberFormat="1" applyFont="1" applyBorder="1" applyAlignment="1">
      <alignment horizontal="right" wrapText="1"/>
    </xf>
    <xf numFmtId="0" fontId="33" fillId="5" borderId="22" xfId="4" applyFont="1" applyFill="1" applyBorder="1" applyAlignment="1">
      <alignment horizontal="center" vertical="top" wrapText="1"/>
    </xf>
    <xf numFmtId="0" fontId="16" fillId="0" borderId="22" xfId="4" applyFont="1" applyBorder="1" applyAlignment="1">
      <alignment horizontal="center" wrapText="1"/>
    </xf>
    <xf numFmtId="0" fontId="26" fillId="0" borderId="22" xfId="4" applyNumberFormat="1" applyFont="1" applyFill="1" applyBorder="1" applyAlignment="1">
      <alignment wrapText="1"/>
    </xf>
    <xf numFmtId="0" fontId="16" fillId="0" borderId="22" xfId="4" applyNumberFormat="1" applyFont="1" applyFill="1" applyBorder="1" applyAlignment="1">
      <alignment horizontal="center"/>
    </xf>
    <xf numFmtId="2" fontId="16" fillId="0" borderId="22" xfId="4" applyNumberFormat="1" applyFont="1" applyFill="1" applyBorder="1" applyAlignment="1"/>
    <xf numFmtId="2" fontId="20" fillId="0" borderId="1" xfId="4" applyNumberFormat="1" applyFont="1" applyBorder="1"/>
    <xf numFmtId="2" fontId="16" fillId="0" borderId="22" xfId="4" applyNumberFormat="1" applyFont="1" applyBorder="1"/>
    <xf numFmtId="2" fontId="16" fillId="0" borderId="22" xfId="4" applyNumberFormat="1" applyFont="1" applyBorder="1" applyAlignment="1">
      <alignment horizontal="center"/>
    </xf>
    <xf numFmtId="0" fontId="16" fillId="13" borderId="22" xfId="4" applyFont="1" applyFill="1" applyBorder="1"/>
    <xf numFmtId="0" fontId="16" fillId="0" borderId="22" xfId="4" applyFont="1" applyBorder="1"/>
    <xf numFmtId="167" fontId="16" fillId="0" borderId="22" xfId="6" applyNumberFormat="1" applyFont="1" applyFill="1" applyBorder="1" applyAlignment="1" applyProtection="1"/>
    <xf numFmtId="2" fontId="16" fillId="2" borderId="28" xfId="4" applyNumberFormat="1" applyFont="1" applyFill="1" applyBorder="1"/>
    <xf numFmtId="2" fontId="16" fillId="0" borderId="1" xfId="4" applyNumberFormat="1" applyFont="1" applyBorder="1"/>
    <xf numFmtId="2" fontId="16" fillId="5" borderId="26" xfId="4" applyNumberFormat="1" applyFont="1" applyFill="1" applyBorder="1" applyAlignment="1"/>
    <xf numFmtId="2" fontId="16" fillId="5" borderId="22" xfId="4" applyNumberFormat="1" applyFont="1" applyFill="1" applyBorder="1" applyAlignment="1"/>
    <xf numFmtId="1" fontId="16" fillId="13" borderId="22" xfId="4" applyNumberFormat="1" applyFont="1" applyFill="1" applyBorder="1"/>
    <xf numFmtId="2" fontId="16" fillId="0" borderId="22" xfId="4" applyNumberFormat="1" applyFont="1" applyFill="1" applyBorder="1"/>
    <xf numFmtId="0" fontId="16" fillId="7" borderId="22" xfId="4" applyFont="1" applyFill="1" applyBorder="1"/>
    <xf numFmtId="2" fontId="34" fillId="0" borderId="22" xfId="4" applyNumberFormat="1" applyFont="1" applyFill="1" applyBorder="1" applyAlignment="1">
      <alignment horizontal="right" vertical="center" wrapText="1" shrinkToFit="1"/>
    </xf>
    <xf numFmtId="0" fontId="16" fillId="2" borderId="22" xfId="4" applyFont="1" applyFill="1" applyBorder="1"/>
    <xf numFmtId="1" fontId="16" fillId="7" borderId="22" xfId="4" applyNumberFormat="1" applyFont="1" applyFill="1" applyBorder="1"/>
    <xf numFmtId="0" fontId="16" fillId="6" borderId="22" xfId="4" applyFont="1" applyFill="1" applyBorder="1"/>
    <xf numFmtId="1" fontId="16" fillId="2" borderId="22" xfId="4" applyNumberFormat="1" applyFont="1" applyFill="1" applyBorder="1"/>
    <xf numFmtId="0" fontId="16" fillId="5" borderId="22" xfId="4" applyFont="1" applyFill="1" applyBorder="1"/>
    <xf numFmtId="2" fontId="16" fillId="5" borderId="27" xfId="4" applyNumberFormat="1" applyFont="1" applyFill="1" applyBorder="1" applyAlignment="1"/>
    <xf numFmtId="2" fontId="16" fillId="0" borderId="28" xfId="4" applyNumberFormat="1" applyFont="1" applyFill="1" applyBorder="1"/>
    <xf numFmtId="0" fontId="16" fillId="5" borderId="22" xfId="4" applyNumberFormat="1" applyFont="1" applyFill="1" applyBorder="1" applyAlignment="1">
      <alignment horizontal="center"/>
    </xf>
    <xf numFmtId="2" fontId="16" fillId="0" borderId="22" xfId="4" applyNumberFormat="1" applyFont="1" applyFill="1" applyBorder="1" applyAlignment="1">
      <alignment horizontal="center" vertical="top" wrapText="1"/>
    </xf>
    <xf numFmtId="165" fontId="16" fillId="0" borderId="22" xfId="4" applyNumberFormat="1" applyFont="1" applyFill="1" applyBorder="1" applyAlignment="1">
      <alignment horizontal="center" vertical="top" wrapText="1"/>
    </xf>
    <xf numFmtId="2" fontId="16" fillId="0" borderId="22" xfId="4" applyNumberFormat="1" applyFont="1" applyFill="1" applyBorder="1" applyAlignment="1">
      <alignment horizontal="right" vertical="center" wrapText="1" shrinkToFit="1"/>
    </xf>
    <xf numFmtId="0" fontId="26" fillId="2" borderId="22" xfId="4" applyNumberFormat="1" applyFont="1" applyFill="1" applyBorder="1" applyAlignment="1">
      <alignment wrapText="1"/>
    </xf>
    <xf numFmtId="0" fontId="26" fillId="2" borderId="22" xfId="4" applyFont="1" applyFill="1" applyBorder="1" applyAlignment="1">
      <alignment wrapText="1"/>
    </xf>
    <xf numFmtId="1" fontId="16" fillId="6" borderId="22" xfId="4" applyNumberFormat="1" applyFont="1" applyFill="1" applyBorder="1"/>
    <xf numFmtId="0" fontId="26" fillId="0" borderId="22" xfId="4" applyNumberFormat="1" applyFont="1" applyFill="1" applyBorder="1" applyAlignment="1"/>
    <xf numFmtId="0" fontId="26" fillId="0" borderId="22" xfId="4" applyNumberFormat="1" applyFont="1" applyFill="1" applyBorder="1" applyAlignment="1">
      <alignment vertical="top" wrapText="1"/>
    </xf>
    <xf numFmtId="0" fontId="26" fillId="0" borderId="22" xfId="4" applyFont="1" applyFill="1" applyBorder="1" applyAlignment="1">
      <alignment horizontal="left" vertical="center"/>
    </xf>
    <xf numFmtId="0" fontId="16" fillId="0" borderId="22" xfId="4" applyFont="1" applyFill="1" applyBorder="1" applyAlignment="1">
      <alignment horizontal="center" vertical="center" wrapText="1" shrinkToFit="1"/>
    </xf>
    <xf numFmtId="0" fontId="16" fillId="0" borderId="0" xfId="4" applyFont="1" applyAlignment="1">
      <alignment horizontal="center"/>
    </xf>
    <xf numFmtId="2" fontId="16" fillId="0" borderId="28" xfId="4" applyNumberFormat="1" applyFont="1" applyBorder="1"/>
    <xf numFmtId="0" fontId="16" fillId="0" borderId="22" xfId="4" applyFont="1" applyFill="1" applyBorder="1"/>
    <xf numFmtId="1" fontId="16" fillId="0" borderId="22" xfId="4" applyNumberFormat="1" applyFont="1" applyFill="1" applyBorder="1"/>
    <xf numFmtId="165" fontId="16" fillId="14" borderId="22" xfId="4" applyNumberFormat="1" applyFont="1" applyFill="1" applyBorder="1" applyAlignment="1">
      <alignment horizontal="center" vertical="top" wrapText="1"/>
    </xf>
    <xf numFmtId="0" fontId="17" fillId="0" borderId="22" xfId="4" applyFont="1" applyBorder="1" applyAlignment="1">
      <alignment horizontal="left" vertical="top" wrapText="1" indent="1"/>
    </xf>
    <xf numFmtId="2" fontId="16" fillId="15" borderId="22" xfId="4" applyNumberFormat="1" applyFont="1" applyFill="1" applyBorder="1" applyAlignment="1">
      <alignment horizontal="center" vertical="top" wrapText="1"/>
    </xf>
    <xf numFmtId="2" fontId="16" fillId="16" borderId="28" xfId="4" applyNumberFormat="1" applyFont="1" applyFill="1" applyBorder="1"/>
    <xf numFmtId="0" fontId="17" fillId="0" borderId="22" xfId="4" applyFont="1" applyBorder="1" applyAlignment="1">
      <alignment vertical="top" wrapText="1"/>
    </xf>
    <xf numFmtId="0" fontId="29" fillId="5" borderId="22" xfId="4" applyFont="1" applyFill="1" applyBorder="1" applyAlignment="1">
      <alignment vertical="top" wrapText="1"/>
    </xf>
    <xf numFmtId="0" fontId="26" fillId="5" borderId="22" xfId="4" applyNumberFormat="1" applyFont="1" applyFill="1" applyBorder="1" applyAlignment="1">
      <alignment horizontal="center"/>
    </xf>
    <xf numFmtId="2" fontId="26" fillId="5" borderId="22" xfId="4" applyNumberFormat="1" applyFont="1" applyFill="1" applyBorder="1" applyAlignment="1"/>
    <xf numFmtId="2" fontId="26" fillId="5" borderId="22" xfId="4" applyNumberFormat="1" applyFont="1" applyFill="1" applyBorder="1"/>
    <xf numFmtId="2" fontId="26" fillId="5" borderId="22" xfId="4" applyNumberFormat="1" applyFont="1" applyFill="1" applyBorder="1" applyAlignment="1">
      <alignment horizontal="center"/>
    </xf>
    <xf numFmtId="2" fontId="26" fillId="5" borderId="28" xfId="4" applyNumberFormat="1" applyFont="1" applyFill="1" applyBorder="1" applyAlignment="1">
      <alignment horizontal="center"/>
    </xf>
    <xf numFmtId="0" fontId="26" fillId="5" borderId="22" xfId="4" applyFont="1" applyFill="1" applyBorder="1"/>
    <xf numFmtId="0" fontId="16" fillId="0" borderId="0" xfId="4" applyNumberFormat="1" applyFont="1"/>
    <xf numFmtId="0" fontId="35" fillId="0" borderId="0" xfId="4" applyFont="1"/>
    <xf numFmtId="0" fontId="17" fillId="0" borderId="0" xfId="4" applyFont="1"/>
    <xf numFmtId="2" fontId="28" fillId="8" borderId="20" xfId="4" applyNumberFormat="1" applyFont="1" applyFill="1" applyBorder="1" applyAlignment="1">
      <alignment horizontal="center" wrapText="1"/>
    </xf>
    <xf numFmtId="2" fontId="27" fillId="8" borderId="20" xfId="4" applyNumberFormat="1" applyFont="1" applyFill="1" applyBorder="1" applyAlignment="1">
      <alignment horizontal="center" wrapText="1"/>
    </xf>
    <xf numFmtId="0" fontId="16" fillId="8" borderId="0" xfId="4" applyFont="1" applyFill="1"/>
    <xf numFmtId="0" fontId="26" fillId="8" borderId="22" xfId="4" applyNumberFormat="1" applyFont="1" applyFill="1" applyBorder="1" applyAlignment="1">
      <alignment wrapText="1"/>
    </xf>
    <xf numFmtId="0" fontId="16" fillId="8" borderId="22" xfId="4" applyNumberFormat="1" applyFont="1" applyFill="1" applyBorder="1" applyAlignment="1">
      <alignment horizontal="center"/>
    </xf>
    <xf numFmtId="2" fontId="34" fillId="8" borderId="22" xfId="4" applyNumberFormat="1" applyFont="1" applyFill="1" applyBorder="1" applyAlignment="1">
      <alignment horizontal="right" vertical="center" wrapText="1" shrinkToFit="1"/>
    </xf>
    <xf numFmtId="2" fontId="16" fillId="8" borderId="22" xfId="4" applyNumberFormat="1" applyFont="1" applyFill="1" applyBorder="1" applyAlignment="1">
      <alignment horizontal="right" vertical="center" wrapText="1" shrinkToFit="1"/>
    </xf>
    <xf numFmtId="2" fontId="16" fillId="8" borderId="22" xfId="4" applyNumberFormat="1" applyFont="1" applyFill="1" applyBorder="1" applyAlignment="1"/>
    <xf numFmtId="2" fontId="16" fillId="8" borderId="22" xfId="4" applyNumberFormat="1" applyFont="1" applyFill="1" applyBorder="1"/>
    <xf numFmtId="2" fontId="16" fillId="8" borderId="22" xfId="4" applyNumberFormat="1" applyFont="1" applyFill="1" applyBorder="1" applyAlignment="1">
      <alignment horizontal="center"/>
    </xf>
    <xf numFmtId="0" fontId="16" fillId="8" borderId="22" xfId="4" applyFont="1" applyFill="1" applyBorder="1"/>
    <xf numFmtId="167" fontId="16" fillId="8" borderId="22" xfId="6" applyNumberFormat="1" applyFont="1" applyFill="1" applyBorder="1" applyAlignment="1" applyProtection="1"/>
    <xf numFmtId="2" fontId="16" fillId="8" borderId="28" xfId="4" applyNumberFormat="1" applyFont="1" applyFill="1" applyBorder="1"/>
    <xf numFmtId="0" fontId="16" fillId="8" borderId="1" xfId="4" applyFont="1" applyFill="1" applyBorder="1"/>
    <xf numFmtId="2" fontId="16" fillId="8" borderId="1" xfId="4" applyNumberFormat="1" applyFont="1" applyFill="1" applyBorder="1"/>
    <xf numFmtId="1" fontId="39" fillId="17" borderId="1" xfId="0" applyNumberFormat="1" applyFont="1" applyFill="1" applyBorder="1"/>
    <xf numFmtId="1" fontId="14" fillId="17" borderId="1" xfId="0" applyNumberFormat="1" applyFont="1" applyFill="1" applyBorder="1" applyAlignment="1">
      <alignment horizontal="right"/>
    </xf>
    <xf numFmtId="1" fontId="14" fillId="17" borderId="1" xfId="0" applyNumberFormat="1" applyFont="1" applyFill="1" applyBorder="1"/>
    <xf numFmtId="1" fontId="39" fillId="17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/>
    <xf numFmtId="1" fontId="16" fillId="2" borderId="1" xfId="0" applyNumberFormat="1" applyFont="1" applyFill="1" applyBorder="1" applyAlignment="1">
      <alignment horizontal="right"/>
    </xf>
    <xf numFmtId="1" fontId="16" fillId="17" borderId="1" xfId="0" applyNumberFormat="1" applyFont="1" applyFill="1" applyBorder="1"/>
    <xf numFmtId="1" fontId="16" fillId="17" borderId="1" xfId="0" applyNumberFormat="1" applyFont="1" applyFill="1" applyBorder="1" applyAlignment="1">
      <alignment horizontal="right"/>
    </xf>
    <xf numFmtId="1" fontId="0" fillId="17" borderId="1" xfId="0" applyNumberFormat="1" applyFont="1" applyFill="1" applyBorder="1"/>
    <xf numFmtId="2" fontId="40" fillId="17" borderId="0" xfId="0" applyNumberFormat="1" applyFont="1" applyFill="1"/>
    <xf numFmtId="2" fontId="0" fillId="17" borderId="0" xfId="0" applyNumberFormat="1" applyFill="1"/>
    <xf numFmtId="2" fontId="0" fillId="17" borderId="0" xfId="0" applyNumberFormat="1" applyFont="1" applyFill="1" applyAlignment="1"/>
    <xf numFmtId="1" fontId="0" fillId="17" borderId="0" xfId="0" applyNumberFormat="1" applyFill="1"/>
    <xf numFmtId="2" fontId="0" fillId="17" borderId="0" xfId="0" applyNumberFormat="1" applyFont="1" applyFill="1"/>
    <xf numFmtId="166" fontId="0" fillId="17" borderId="0" xfId="0" applyNumberFormat="1" applyFont="1" applyFill="1"/>
    <xf numFmtId="1" fontId="0" fillId="17" borderId="0" xfId="0" applyNumberFormat="1" applyFont="1" applyFill="1" applyAlignment="1">
      <alignment horizontal="right"/>
    </xf>
    <xf numFmtId="1" fontId="12" fillId="17" borderId="0" xfId="0" applyNumberFormat="1" applyFont="1" applyFill="1" applyAlignment="1">
      <alignment horizontal="center"/>
    </xf>
    <xf numFmtId="2" fontId="0" fillId="12" borderId="0" xfId="0" applyNumberFormat="1" applyFill="1"/>
    <xf numFmtId="1" fontId="12" fillId="17" borderId="0" xfId="0" applyNumberFormat="1" applyFont="1" applyFill="1" applyAlignment="1">
      <alignment horizontal="right"/>
    </xf>
    <xf numFmtId="2" fontId="41" fillId="17" borderId="0" xfId="0" applyNumberFormat="1" applyFont="1" applyFill="1"/>
    <xf numFmtId="1" fontId="41" fillId="17" borderId="0" xfId="0" applyNumberFormat="1" applyFont="1" applyFill="1"/>
    <xf numFmtId="2" fontId="42" fillId="17" borderId="0" xfId="0" applyNumberFormat="1" applyFont="1" applyFill="1"/>
    <xf numFmtId="2" fontId="43" fillId="17" borderId="0" xfId="0" applyNumberFormat="1" applyFont="1" applyFill="1"/>
    <xf numFmtId="1" fontId="42" fillId="17" borderId="0" xfId="0" applyNumberFormat="1" applyFont="1" applyFill="1"/>
    <xf numFmtId="2" fontId="44" fillId="17" borderId="0" xfId="0" applyNumberFormat="1" applyFont="1" applyFill="1" applyAlignment="1">
      <alignment horizontal="left" indent="10"/>
    </xf>
    <xf numFmtId="2" fontId="44" fillId="17" borderId="0" xfId="0" applyNumberFormat="1" applyFont="1" applyFill="1"/>
    <xf numFmtId="1" fontId="42" fillId="17" borderId="0" xfId="0" applyNumberFormat="1" applyFont="1" applyFill="1" applyBorder="1" applyAlignment="1">
      <alignment horizontal="center"/>
    </xf>
    <xf numFmtId="2" fontId="42" fillId="17" borderId="0" xfId="0" applyNumberFormat="1" applyFont="1" applyFill="1" applyAlignment="1">
      <alignment horizontal="left"/>
    </xf>
    <xf numFmtId="2" fontId="42" fillId="17" borderId="37" xfId="0" applyNumberFormat="1" applyFont="1" applyFill="1" applyBorder="1"/>
    <xf numFmtId="2" fontId="42" fillId="17" borderId="38" xfId="0" applyNumberFormat="1" applyFont="1" applyFill="1" applyBorder="1"/>
    <xf numFmtId="2" fontId="43" fillId="17" borderId="38" xfId="0" applyNumberFormat="1" applyFont="1" applyFill="1" applyBorder="1" applyAlignment="1">
      <alignment horizontal="center"/>
    </xf>
    <xf numFmtId="2" fontId="45" fillId="18" borderId="39" xfId="0" applyNumberFormat="1" applyFont="1" applyFill="1" applyBorder="1" applyAlignment="1">
      <alignment horizontal="left" indent="1"/>
    </xf>
    <xf numFmtId="2" fontId="42" fillId="18" borderId="40" xfId="0" applyNumberFormat="1" applyFont="1" applyFill="1" applyBorder="1"/>
    <xf numFmtId="2" fontId="42" fillId="19" borderId="41" xfId="0" applyNumberFormat="1" applyFont="1" applyFill="1" applyBorder="1" applyAlignment="1">
      <alignment horizontal="left" vertical="center" indent="2"/>
    </xf>
    <xf numFmtId="2" fontId="42" fillId="19" borderId="41" xfId="0" applyNumberFormat="1" applyFont="1" applyFill="1" applyBorder="1"/>
    <xf numFmtId="1" fontId="42" fillId="19" borderId="41" xfId="0" applyNumberFormat="1" applyFont="1" applyFill="1" applyBorder="1"/>
    <xf numFmtId="1" fontId="0" fillId="19" borderId="41" xfId="0" applyNumberFormat="1" applyFill="1" applyBorder="1"/>
    <xf numFmtId="2" fontId="0" fillId="19" borderId="41" xfId="0" applyNumberFormat="1" applyFill="1" applyBorder="1"/>
    <xf numFmtId="2" fontId="0" fillId="19" borderId="41" xfId="0" applyNumberFormat="1" applyFont="1" applyFill="1" applyBorder="1"/>
    <xf numFmtId="166" fontId="0" fillId="19" borderId="41" xfId="0" applyNumberFormat="1" applyFont="1" applyFill="1" applyBorder="1"/>
    <xf numFmtId="2" fontId="45" fillId="20" borderId="20" xfId="0" applyNumberFormat="1" applyFont="1" applyFill="1" applyBorder="1" applyAlignment="1">
      <alignment horizontal="left" indent="24"/>
    </xf>
    <xf numFmtId="2" fontId="45" fillId="21" borderId="39" xfId="0" applyNumberFormat="1" applyFont="1" applyFill="1" applyBorder="1" applyAlignment="1"/>
    <xf numFmtId="2" fontId="45" fillId="21" borderId="41" xfId="0" applyNumberFormat="1" applyFont="1" applyFill="1" applyBorder="1" applyAlignment="1"/>
    <xf numFmtId="1" fontId="42" fillId="21" borderId="41" xfId="0" applyNumberFormat="1" applyFont="1" applyFill="1" applyBorder="1" applyAlignment="1">
      <alignment horizontal="right"/>
    </xf>
    <xf numFmtId="1" fontId="42" fillId="21" borderId="40" xfId="0" applyNumberFormat="1" applyFont="1" applyFill="1" applyBorder="1" applyAlignment="1">
      <alignment horizontal="right"/>
    </xf>
    <xf numFmtId="2" fontId="45" fillId="19" borderId="41" xfId="0" applyNumberFormat="1" applyFont="1" applyFill="1" applyBorder="1" applyAlignment="1">
      <alignment horizontal="left" indent="13"/>
    </xf>
    <xf numFmtId="2" fontId="45" fillId="19" borderId="40" xfId="0" applyNumberFormat="1" applyFont="1" applyFill="1" applyBorder="1" applyAlignment="1">
      <alignment horizontal="left" indent="13"/>
    </xf>
    <xf numFmtId="2" fontId="0" fillId="17" borderId="37" xfId="0" applyNumberFormat="1" applyFill="1" applyBorder="1"/>
    <xf numFmtId="2" fontId="0" fillId="17" borderId="42" xfId="0" applyNumberFormat="1" applyFill="1" applyBorder="1"/>
    <xf numFmtId="2" fontId="46" fillId="17" borderId="42" xfId="0" applyNumberFormat="1" applyFont="1" applyFill="1" applyBorder="1" applyAlignment="1">
      <alignment horizontal="center" wrapText="1"/>
    </xf>
    <xf numFmtId="2" fontId="47" fillId="17" borderId="42" xfId="0" applyNumberFormat="1" applyFont="1" applyFill="1" applyBorder="1"/>
    <xf numFmtId="2" fontId="45" fillId="17" borderId="42" xfId="0" applyNumberFormat="1" applyFont="1" applyFill="1" applyBorder="1"/>
    <xf numFmtId="2" fontId="45" fillId="18" borderId="43" xfId="0" applyNumberFormat="1" applyFont="1" applyFill="1" applyBorder="1" applyAlignment="1">
      <alignment horizontal="center"/>
    </xf>
    <xf numFmtId="2" fontId="45" fillId="17" borderId="43" xfId="0" applyNumberFormat="1" applyFont="1" applyFill="1" applyBorder="1" applyAlignment="1">
      <alignment horizontal="center"/>
    </xf>
    <xf numFmtId="2" fontId="45" fillId="17" borderId="43" xfId="0" applyNumberFormat="1" applyFont="1" applyFill="1" applyBorder="1" applyAlignment="1">
      <alignment horizontal="center" vertical="center" wrapText="1" shrinkToFit="1"/>
    </xf>
    <xf numFmtId="1" fontId="45" fillId="17" borderId="43" xfId="0" applyNumberFormat="1" applyFont="1" applyFill="1" applyBorder="1" applyAlignment="1">
      <alignment horizontal="center"/>
    </xf>
    <xf numFmtId="1" fontId="45" fillId="17" borderId="0" xfId="0" applyNumberFormat="1" applyFont="1" applyFill="1" applyBorder="1" applyAlignment="1">
      <alignment horizontal="center"/>
    </xf>
    <xf numFmtId="1" fontId="41" fillId="17" borderId="0" xfId="0" applyNumberFormat="1" applyFont="1" applyFill="1" applyBorder="1"/>
    <xf numFmtId="1" fontId="0" fillId="17" borderId="0" xfId="0" applyNumberFormat="1" applyFill="1" applyBorder="1"/>
    <xf numFmtId="2" fontId="0" fillId="17" borderId="0" xfId="0" applyNumberFormat="1" applyFill="1" applyBorder="1"/>
    <xf numFmtId="2" fontId="0" fillId="17" borderId="0" xfId="0" applyNumberFormat="1" applyFont="1" applyFill="1" applyBorder="1"/>
    <xf numFmtId="166" fontId="0" fillId="17" borderId="0" xfId="0" applyNumberFormat="1" applyFont="1" applyFill="1" applyBorder="1"/>
    <xf numFmtId="2" fontId="46" fillId="20" borderId="43" xfId="0" applyNumberFormat="1" applyFont="1" applyFill="1" applyBorder="1" applyAlignment="1">
      <alignment horizontal="center"/>
    </xf>
    <xf numFmtId="2" fontId="46" fillId="17" borderId="44" xfId="0" applyNumberFormat="1" applyFont="1" applyFill="1" applyBorder="1" applyAlignment="1">
      <alignment horizontal="center"/>
    </xf>
    <xf numFmtId="2" fontId="48" fillId="17" borderId="42" xfId="0" applyNumberFormat="1" applyFont="1" applyFill="1" applyBorder="1" applyAlignment="1">
      <alignment horizontal="center"/>
    </xf>
    <xf numFmtId="1" fontId="48" fillId="17" borderId="42" xfId="0" applyNumberFormat="1" applyFont="1" applyFill="1" applyBorder="1" applyAlignment="1">
      <alignment horizontal="center"/>
    </xf>
    <xf numFmtId="2" fontId="49" fillId="10" borderId="43" xfId="0" applyNumberFormat="1" applyFont="1" applyFill="1" applyBorder="1" applyAlignment="1">
      <alignment horizontal="center"/>
    </xf>
    <xf numFmtId="2" fontId="50" fillId="20" borderId="42" xfId="0" applyNumberFormat="1" applyFont="1" applyFill="1" applyBorder="1" applyAlignment="1">
      <alignment horizontal="center"/>
    </xf>
    <xf numFmtId="2" fontId="46" fillId="3" borderId="45" xfId="0" applyNumberFormat="1" applyFont="1" applyFill="1" applyBorder="1" applyAlignment="1">
      <alignment horizontal="center"/>
    </xf>
    <xf numFmtId="2" fontId="25" fillId="17" borderId="45" xfId="0" applyNumberFormat="1" applyFont="1" applyFill="1" applyBorder="1"/>
    <xf numFmtId="2" fontId="10" fillId="17" borderId="43" xfId="0" applyNumberFormat="1" applyFont="1" applyFill="1" applyBorder="1"/>
    <xf numFmtId="2" fontId="47" fillId="17" borderId="43" xfId="0" applyNumberFormat="1" applyFont="1" applyFill="1" applyBorder="1" applyAlignment="1">
      <alignment horizontal="center"/>
    </xf>
    <xf numFmtId="2" fontId="45" fillId="17" borderId="43" xfId="0" applyNumberFormat="1" applyFont="1" applyFill="1" applyBorder="1"/>
    <xf numFmtId="2" fontId="48" fillId="17" borderId="43" xfId="0" applyNumberFormat="1" applyFont="1" applyFill="1" applyBorder="1" applyAlignment="1">
      <alignment horizontal="center" vertical="center" wrapText="1"/>
    </xf>
    <xf numFmtId="2" fontId="48" fillId="17" borderId="43" xfId="0" applyNumberFormat="1" applyFont="1" applyFill="1" applyBorder="1" applyAlignment="1">
      <alignment horizontal="center" vertical="center"/>
    </xf>
    <xf numFmtId="1" fontId="48" fillId="17" borderId="43" xfId="0" applyNumberFormat="1" applyFont="1" applyFill="1" applyBorder="1" applyAlignment="1">
      <alignment horizontal="center" vertical="center" wrapText="1"/>
    </xf>
    <xf numFmtId="1" fontId="48" fillId="17" borderId="43" xfId="0" applyNumberFormat="1" applyFont="1" applyFill="1" applyBorder="1" applyAlignment="1">
      <alignment horizontal="center"/>
    </xf>
    <xf numFmtId="1" fontId="48" fillId="17" borderId="43" xfId="0" applyNumberFormat="1" applyFont="1" applyFill="1" applyBorder="1" applyAlignment="1">
      <alignment horizontal="center" wrapText="1"/>
    </xf>
    <xf numFmtId="2" fontId="50" fillId="20" borderId="43" xfId="0" applyNumberFormat="1" applyFont="1" applyFill="1" applyBorder="1" applyAlignment="1">
      <alignment horizontal="center"/>
    </xf>
    <xf numFmtId="2" fontId="47" fillId="17" borderId="43" xfId="0" applyNumberFormat="1" applyFont="1" applyFill="1" applyBorder="1"/>
    <xf numFmtId="2" fontId="45" fillId="18" borderId="43" xfId="0" applyNumberFormat="1" applyFont="1" applyFill="1" applyBorder="1"/>
    <xf numFmtId="1" fontId="46" fillId="10" borderId="43" xfId="0" applyNumberFormat="1" applyFont="1" applyFill="1" applyBorder="1" applyAlignment="1">
      <alignment horizontal="center"/>
    </xf>
    <xf numFmtId="1" fontId="33" fillId="20" borderId="43" xfId="0" applyNumberFormat="1" applyFont="1" applyFill="1" applyBorder="1" applyAlignment="1">
      <alignment horizontal="center"/>
    </xf>
    <xf numFmtId="2" fontId="48" fillId="17" borderId="43" xfId="0" applyNumberFormat="1" applyFont="1" applyFill="1" applyBorder="1" applyAlignment="1">
      <alignment horizontal="center"/>
    </xf>
    <xf numFmtId="1" fontId="48" fillId="17" borderId="43" xfId="0" applyNumberFormat="1" applyFont="1" applyFill="1" applyBorder="1" applyAlignment="1">
      <alignment horizontal="center" vertical="center"/>
    </xf>
    <xf numFmtId="2" fontId="46" fillId="3" borderId="45" xfId="0" applyNumberFormat="1" applyFont="1" applyFill="1" applyBorder="1"/>
    <xf numFmtId="2" fontId="47" fillId="17" borderId="46" xfId="0" applyNumberFormat="1" applyFont="1" applyFill="1" applyBorder="1"/>
    <xf numFmtId="2" fontId="45" fillId="17" borderId="46" xfId="0" applyNumberFormat="1" applyFont="1" applyFill="1" applyBorder="1"/>
    <xf numFmtId="2" fontId="51" fillId="18" borderId="46" xfId="0" applyNumberFormat="1" applyFont="1" applyFill="1" applyBorder="1" applyAlignment="1">
      <alignment horizontal="center"/>
    </xf>
    <xf numFmtId="2" fontId="51" fillId="17" borderId="46" xfId="0" applyNumberFormat="1" applyFont="1" applyFill="1" applyBorder="1" applyAlignment="1">
      <alignment horizontal="center"/>
    </xf>
    <xf numFmtId="2" fontId="51" fillId="17" borderId="47" xfId="0" applyNumberFormat="1" applyFont="1" applyFill="1" applyBorder="1" applyAlignment="1">
      <alignment horizontal="center"/>
    </xf>
    <xf numFmtId="2" fontId="49" fillId="20" borderId="46" xfId="0" applyNumberFormat="1" applyFont="1" applyFill="1" applyBorder="1" applyAlignment="1">
      <alignment horizontal="center"/>
    </xf>
    <xf numFmtId="2" fontId="49" fillId="17" borderId="48" xfId="0" applyNumberFormat="1" applyFont="1" applyFill="1" applyBorder="1" applyAlignment="1">
      <alignment horizontal="center"/>
    </xf>
    <xf numFmtId="2" fontId="48" fillId="17" borderId="46" xfId="0" applyNumberFormat="1" applyFont="1" applyFill="1" applyBorder="1" applyAlignment="1">
      <alignment horizontal="center"/>
    </xf>
    <xf numFmtId="1" fontId="48" fillId="17" borderId="46" xfId="0" applyNumberFormat="1" applyFont="1" applyFill="1" applyBorder="1" applyAlignment="1">
      <alignment horizontal="center"/>
    </xf>
    <xf numFmtId="2" fontId="51" fillId="10" borderId="46" xfId="0" applyNumberFormat="1" applyFont="1" applyFill="1" applyBorder="1" applyAlignment="1">
      <alignment horizontal="center"/>
    </xf>
    <xf numFmtId="2" fontId="52" fillId="20" borderId="46" xfId="0" applyNumberFormat="1" applyFont="1" applyFill="1" applyBorder="1" applyAlignment="1">
      <alignment horizontal="center"/>
    </xf>
    <xf numFmtId="2" fontId="51" fillId="3" borderId="47" xfId="0" applyNumberFormat="1" applyFont="1" applyFill="1" applyBorder="1" applyAlignment="1">
      <alignment horizontal="center"/>
    </xf>
    <xf numFmtId="2" fontId="0" fillId="17" borderId="47" xfId="0" applyNumberFormat="1" applyFill="1" applyBorder="1"/>
    <xf numFmtId="2" fontId="10" fillId="17" borderId="46" xfId="0" applyNumberFormat="1" applyFont="1" applyFill="1" applyBorder="1"/>
    <xf numFmtId="1" fontId="53" fillId="17" borderId="20" xfId="0" applyNumberFormat="1" applyFont="1" applyFill="1" applyBorder="1" applyAlignment="1">
      <alignment horizontal="center"/>
    </xf>
    <xf numFmtId="1" fontId="45" fillId="17" borderId="49" xfId="0" applyNumberFormat="1" applyFont="1" applyFill="1" applyBorder="1" applyAlignment="1">
      <alignment horizontal="center"/>
    </xf>
    <xf numFmtId="1" fontId="45" fillId="17" borderId="50" xfId="0" applyNumberFormat="1" applyFont="1" applyFill="1" applyBorder="1" applyAlignment="1">
      <alignment horizontal="center"/>
    </xf>
    <xf numFmtId="1" fontId="45" fillId="18" borderId="50" xfId="0" applyNumberFormat="1" applyFont="1" applyFill="1" applyBorder="1" applyAlignment="1">
      <alignment horizontal="center"/>
    </xf>
    <xf numFmtId="1" fontId="45" fillId="17" borderId="51" xfId="0" applyNumberFormat="1" applyFont="1" applyFill="1" applyBorder="1" applyAlignment="1">
      <alignment horizontal="center"/>
    </xf>
    <xf numFmtId="1" fontId="49" fillId="20" borderId="20" xfId="0" applyNumberFormat="1" applyFont="1" applyFill="1" applyBorder="1" applyAlignment="1">
      <alignment horizontal="center"/>
    </xf>
    <xf numFmtId="1" fontId="46" fillId="17" borderId="41" xfId="0" applyNumberFormat="1" applyFont="1" applyFill="1" applyBorder="1" applyAlignment="1">
      <alignment horizontal="center"/>
    </xf>
    <xf numFmtId="1" fontId="12" fillId="17" borderId="20" xfId="0" applyNumberFormat="1" applyFont="1" applyFill="1" applyBorder="1" applyAlignment="1">
      <alignment horizontal="center"/>
    </xf>
    <xf numFmtId="1" fontId="12" fillId="17" borderId="41" xfId="0" applyNumberFormat="1" applyFont="1" applyFill="1" applyBorder="1" applyAlignment="1">
      <alignment horizontal="center"/>
    </xf>
    <xf numFmtId="1" fontId="12" fillId="17" borderId="20" xfId="0" applyNumberFormat="1" applyFont="1" applyFill="1" applyBorder="1" applyAlignment="1">
      <alignment horizontal="right"/>
    </xf>
    <xf numFmtId="1" fontId="54" fillId="17" borderId="20" xfId="0" applyNumberFormat="1" applyFont="1" applyFill="1" applyBorder="1" applyAlignment="1">
      <alignment horizontal="right"/>
    </xf>
    <xf numFmtId="1" fontId="23" fillId="17" borderId="20" xfId="0" applyNumberFormat="1" applyFont="1" applyFill="1" applyBorder="1" applyAlignment="1">
      <alignment horizontal="right"/>
    </xf>
    <xf numFmtId="1" fontId="46" fillId="17" borderId="20" xfId="0" applyNumberFormat="1" applyFont="1" applyFill="1" applyBorder="1" applyAlignment="1">
      <alignment horizontal="center"/>
    </xf>
    <xf numFmtId="2" fontId="55" fillId="17" borderId="52" xfId="0" applyNumberFormat="1" applyFont="1" applyFill="1" applyBorder="1" applyAlignment="1"/>
    <xf numFmtId="0" fontId="26" fillId="17" borderId="53" xfId="0" applyFont="1" applyFill="1" applyBorder="1"/>
    <xf numFmtId="2" fontId="45" fillId="17" borderId="38" xfId="0" applyNumberFormat="1" applyFont="1" applyFill="1" applyBorder="1" applyAlignment="1">
      <alignment horizontal="center"/>
    </xf>
    <xf numFmtId="1" fontId="45" fillId="17" borderId="38" xfId="0" applyNumberFormat="1" applyFont="1" applyFill="1" applyBorder="1" applyAlignment="1">
      <alignment horizontal="center"/>
    </xf>
    <xf numFmtId="2" fontId="45" fillId="17" borderId="54" xfId="0" applyNumberFormat="1" applyFont="1" applyFill="1" applyBorder="1" applyAlignment="1">
      <alignment horizontal="center"/>
    </xf>
    <xf numFmtId="1" fontId="41" fillId="17" borderId="38" xfId="0" applyNumberFormat="1" applyFont="1" applyFill="1" applyBorder="1"/>
    <xf numFmtId="1" fontId="0" fillId="17" borderId="38" xfId="0" applyNumberFormat="1" applyFill="1" applyBorder="1"/>
    <xf numFmtId="2" fontId="0" fillId="17" borderId="38" xfId="0" applyNumberFormat="1" applyFill="1" applyBorder="1"/>
    <xf numFmtId="166" fontId="0" fillId="17" borderId="38" xfId="0" applyNumberFormat="1" applyFont="1" applyFill="1" applyBorder="1"/>
    <xf numFmtId="1" fontId="12" fillId="17" borderId="38" xfId="0" applyNumberFormat="1" applyFont="1" applyFill="1" applyBorder="1" applyAlignment="1">
      <alignment horizontal="center"/>
    </xf>
    <xf numFmtId="2" fontId="0" fillId="17" borderId="54" xfId="0" applyNumberFormat="1" applyFill="1" applyBorder="1"/>
    <xf numFmtId="1" fontId="39" fillId="17" borderId="0" xfId="0" applyNumberFormat="1" applyFont="1" applyFill="1"/>
    <xf numFmtId="2" fontId="42" fillId="17" borderId="1" xfId="0" applyNumberFormat="1" applyFont="1" applyFill="1" applyBorder="1"/>
    <xf numFmtId="1" fontId="42" fillId="17" borderId="17" xfId="0" applyNumberFormat="1" applyFont="1" applyFill="1" applyBorder="1" applyAlignment="1">
      <alignment horizontal="right"/>
    </xf>
    <xf numFmtId="1" fontId="42" fillId="17" borderId="10" xfId="0" applyNumberFormat="1" applyFont="1" applyFill="1" applyBorder="1" applyAlignment="1">
      <alignment horizontal="right"/>
    </xf>
    <xf numFmtId="2" fontId="42" fillId="17" borderId="10" xfId="0" applyNumberFormat="1" applyFont="1" applyFill="1" applyBorder="1" applyAlignment="1">
      <alignment horizontal="right"/>
    </xf>
    <xf numFmtId="2" fontId="42" fillId="17" borderId="11" xfId="0" applyNumberFormat="1" applyFont="1" applyFill="1" applyBorder="1" applyAlignment="1">
      <alignment horizontal="right"/>
    </xf>
    <xf numFmtId="1" fontId="42" fillId="17" borderId="38" xfId="0" applyNumberFormat="1" applyFont="1" applyFill="1" applyBorder="1" applyAlignment="1">
      <alignment horizontal="right"/>
    </xf>
    <xf numFmtId="1" fontId="39" fillId="17" borderId="38" xfId="0" applyNumberFormat="1" applyFont="1" applyFill="1" applyBorder="1"/>
    <xf numFmtId="2" fontId="39" fillId="17" borderId="38" xfId="0" applyNumberFormat="1" applyFont="1" applyFill="1" applyBorder="1"/>
    <xf numFmtId="166" fontId="39" fillId="17" borderId="38" xfId="0" applyNumberFormat="1" applyFont="1" applyFill="1" applyBorder="1"/>
    <xf numFmtId="1" fontId="39" fillId="17" borderId="10" xfId="0" applyNumberFormat="1" applyFont="1" applyFill="1" applyBorder="1"/>
    <xf numFmtId="1" fontId="39" fillId="17" borderId="55" xfId="0" applyNumberFormat="1" applyFont="1" applyFill="1" applyBorder="1"/>
    <xf numFmtId="1" fontId="39" fillId="17" borderId="35" xfId="0" applyNumberFormat="1" applyFont="1" applyFill="1" applyBorder="1"/>
    <xf numFmtId="1" fontId="14" fillId="17" borderId="17" xfId="0" applyNumberFormat="1" applyFont="1" applyFill="1" applyBorder="1" applyAlignment="1">
      <alignment horizontal="center"/>
    </xf>
    <xf numFmtId="1" fontId="14" fillId="17" borderId="10" xfId="0" applyNumberFormat="1" applyFont="1" applyFill="1" applyBorder="1" applyAlignment="1">
      <alignment horizontal="center"/>
    </xf>
    <xf numFmtId="1" fontId="56" fillId="20" borderId="10" xfId="0" applyNumberFormat="1" applyFont="1" applyFill="1" applyBorder="1"/>
    <xf numFmtId="2" fontId="41" fillId="17" borderId="38" xfId="0" applyNumberFormat="1" applyFont="1" applyFill="1" applyBorder="1"/>
    <xf numFmtId="1" fontId="0" fillId="17" borderId="6" xfId="0" applyNumberFormat="1" applyFont="1" applyFill="1" applyBorder="1"/>
    <xf numFmtId="49" fontId="9" fillId="17" borderId="1" xfId="9" applyNumberFormat="1" applyFont="1" applyFill="1" applyBorder="1" applyAlignment="1">
      <alignment horizontal="left" vertical="center"/>
    </xf>
    <xf numFmtId="1" fontId="42" fillId="17" borderId="6" xfId="0" applyNumberFormat="1" applyFont="1" applyFill="1" applyBorder="1" applyAlignment="1">
      <alignment horizontal="right"/>
    </xf>
    <xf numFmtId="1" fontId="42" fillId="17" borderId="1" xfId="0" applyNumberFormat="1" applyFont="1" applyFill="1" applyBorder="1" applyAlignment="1">
      <alignment horizontal="right"/>
    </xf>
    <xf numFmtId="1" fontId="57" fillId="17" borderId="1" xfId="0" applyNumberFormat="1" applyFont="1" applyFill="1" applyBorder="1" applyAlignment="1">
      <alignment horizontal="right"/>
    </xf>
    <xf numFmtId="2" fontId="42" fillId="17" borderId="1" xfId="0" applyNumberFormat="1" applyFont="1" applyFill="1" applyBorder="1" applyAlignment="1">
      <alignment horizontal="right"/>
    </xf>
    <xf numFmtId="2" fontId="42" fillId="17" borderId="12" xfId="0" applyNumberFormat="1" applyFont="1" applyFill="1" applyBorder="1" applyAlignment="1">
      <alignment horizontal="right"/>
    </xf>
    <xf numFmtId="1" fontId="42" fillId="17" borderId="0" xfId="0" applyNumberFormat="1" applyFont="1" applyFill="1" applyBorder="1" applyAlignment="1">
      <alignment horizontal="right"/>
    </xf>
    <xf numFmtId="1" fontId="39" fillId="17" borderId="0" xfId="0" applyNumberFormat="1" applyFont="1" applyFill="1" applyBorder="1"/>
    <xf numFmtId="2" fontId="39" fillId="17" borderId="0" xfId="0" applyNumberFormat="1" applyFont="1" applyFill="1" applyBorder="1"/>
    <xf numFmtId="166" fontId="39" fillId="17" borderId="0" xfId="0" applyNumberFormat="1" applyFont="1" applyFill="1" applyBorder="1"/>
    <xf numFmtId="1" fontId="39" fillId="17" borderId="4" xfId="0" applyNumberFormat="1" applyFont="1" applyFill="1" applyBorder="1"/>
    <xf numFmtId="1" fontId="14" fillId="17" borderId="6" xfId="0" applyNumberFormat="1" applyFont="1" applyFill="1" applyBorder="1" applyAlignment="1">
      <alignment horizontal="center"/>
    </xf>
    <xf numFmtId="1" fontId="14" fillId="17" borderId="1" xfId="0" applyNumberFormat="1" applyFont="1" applyFill="1" applyBorder="1" applyAlignment="1">
      <alignment horizontal="center"/>
    </xf>
    <xf numFmtId="1" fontId="56" fillId="20" borderId="1" xfId="0" applyNumberFormat="1" applyFont="1" applyFill="1" applyBorder="1"/>
    <xf numFmtId="2" fontId="41" fillId="17" borderId="0" xfId="0" applyNumberFormat="1" applyFont="1" applyFill="1" applyBorder="1"/>
    <xf numFmtId="1" fontId="57" fillId="17" borderId="6" xfId="0" applyNumberFormat="1" applyFont="1" applyFill="1" applyBorder="1" applyAlignment="1">
      <alignment horizontal="right"/>
    </xf>
    <xf numFmtId="2" fontId="45" fillId="17" borderId="1" xfId="0" applyNumberFormat="1" applyFont="1" applyFill="1" applyBorder="1" applyAlignment="1">
      <alignment horizontal="right"/>
    </xf>
    <xf numFmtId="1" fontId="45" fillId="17" borderId="1" xfId="0" applyNumberFormat="1" applyFont="1" applyFill="1" applyBorder="1" applyAlignment="1">
      <alignment horizontal="right"/>
    </xf>
    <xf numFmtId="2" fontId="45" fillId="17" borderId="56" xfId="0" applyNumberFormat="1" applyFont="1" applyFill="1" applyBorder="1"/>
    <xf numFmtId="1" fontId="45" fillId="17" borderId="14" xfId="0" applyNumberFormat="1" applyFont="1" applyFill="1" applyBorder="1" applyAlignment="1">
      <alignment horizontal="right"/>
    </xf>
    <xf numFmtId="2" fontId="45" fillId="17" borderId="14" xfId="0" applyNumberFormat="1" applyFont="1" applyFill="1" applyBorder="1" applyAlignment="1">
      <alignment horizontal="right"/>
    </xf>
    <xf numFmtId="2" fontId="45" fillId="17" borderId="15" xfId="0" applyNumberFormat="1" applyFont="1" applyFill="1" applyBorder="1" applyAlignment="1">
      <alignment horizontal="right"/>
    </xf>
    <xf numFmtId="1" fontId="42" fillId="17" borderId="57" xfId="0" applyNumberFormat="1" applyFont="1" applyFill="1" applyBorder="1" applyAlignment="1">
      <alignment horizontal="right"/>
    </xf>
    <xf numFmtId="1" fontId="41" fillId="17" borderId="57" xfId="0" applyNumberFormat="1" applyFont="1" applyFill="1" applyBorder="1"/>
    <xf numFmtId="1" fontId="0" fillId="17" borderId="57" xfId="0" applyNumberFormat="1" applyFill="1" applyBorder="1"/>
    <xf numFmtId="2" fontId="41" fillId="17" borderId="57" xfId="0" applyNumberFormat="1" applyFont="1" applyFill="1" applyBorder="1"/>
    <xf numFmtId="2" fontId="39" fillId="17" borderId="57" xfId="0" applyNumberFormat="1" applyFont="1" applyFill="1" applyBorder="1"/>
    <xf numFmtId="166" fontId="39" fillId="17" borderId="57" xfId="0" applyNumberFormat="1" applyFont="1" applyFill="1" applyBorder="1"/>
    <xf numFmtId="2" fontId="41" fillId="17" borderId="14" xfId="0" applyNumberFormat="1" applyFont="1" applyFill="1" applyBorder="1"/>
    <xf numFmtId="2" fontId="41" fillId="17" borderId="33" xfId="0" applyNumberFormat="1" applyFont="1" applyFill="1" applyBorder="1"/>
    <xf numFmtId="1" fontId="41" fillId="17" borderId="33" xfId="0" applyNumberFormat="1" applyFont="1" applyFill="1" applyBorder="1"/>
    <xf numFmtId="1" fontId="41" fillId="17" borderId="33" xfId="0" applyNumberFormat="1" applyFont="1" applyFill="1" applyBorder="1" applyAlignment="1">
      <alignment horizontal="center"/>
    </xf>
    <xf numFmtId="1" fontId="14" fillId="17" borderId="33" xfId="0" applyNumberFormat="1" applyFont="1" applyFill="1" applyBorder="1" applyAlignment="1">
      <alignment horizontal="center"/>
    </xf>
    <xf numFmtId="1" fontId="14" fillId="17" borderId="14" xfId="0" applyNumberFormat="1" applyFont="1" applyFill="1" applyBorder="1" applyAlignment="1">
      <alignment horizontal="center"/>
    </xf>
    <xf numFmtId="1" fontId="56" fillId="20" borderId="14" xfId="0" applyNumberFormat="1" applyFont="1" applyFill="1" applyBorder="1"/>
    <xf numFmtId="1" fontId="39" fillId="17" borderId="57" xfId="0" applyNumberFormat="1" applyFont="1" applyFill="1" applyBorder="1"/>
    <xf numFmtId="1" fontId="0" fillId="17" borderId="58" xfId="0" applyNumberFormat="1" applyFill="1" applyBorder="1"/>
    <xf numFmtId="2" fontId="55" fillId="17" borderId="31" xfId="0" applyNumberFormat="1" applyFont="1" applyFill="1" applyBorder="1" applyAlignment="1"/>
    <xf numFmtId="0" fontId="26" fillId="17" borderId="59" xfId="0" applyFont="1" applyFill="1" applyBorder="1"/>
    <xf numFmtId="2" fontId="45" fillId="17" borderId="0" xfId="0" applyNumberFormat="1" applyFont="1" applyFill="1" applyBorder="1" applyAlignment="1">
      <alignment horizontal="center"/>
    </xf>
    <xf numFmtId="2" fontId="45" fillId="17" borderId="44" xfId="0" applyNumberFormat="1" applyFont="1" applyFill="1" applyBorder="1" applyAlignment="1">
      <alignment horizontal="center"/>
    </xf>
    <xf numFmtId="1" fontId="41" fillId="17" borderId="0" xfId="0" applyNumberFormat="1" applyFont="1" applyFill="1" applyBorder="1" applyAlignment="1">
      <alignment horizontal="center"/>
    </xf>
    <xf numFmtId="1" fontId="14" fillId="17" borderId="0" xfId="0" applyNumberFormat="1" applyFont="1" applyFill="1" applyBorder="1" applyAlignment="1">
      <alignment horizontal="center"/>
    </xf>
    <xf numFmtId="1" fontId="14" fillId="17" borderId="3" xfId="0" applyNumberFormat="1" applyFont="1" applyFill="1" applyBorder="1" applyAlignment="1">
      <alignment horizontal="center"/>
    </xf>
    <xf numFmtId="1" fontId="56" fillId="20" borderId="0" xfId="0" applyNumberFormat="1" applyFont="1" applyFill="1" applyBorder="1"/>
    <xf numFmtId="1" fontId="0" fillId="17" borderId="34" xfId="0" applyNumberFormat="1" applyFill="1" applyBorder="1"/>
    <xf numFmtId="2" fontId="41" fillId="17" borderId="4" xfId="0" applyNumberFormat="1" applyFont="1" applyFill="1" applyBorder="1"/>
    <xf numFmtId="2" fontId="41" fillId="17" borderId="1" xfId="0" applyNumberFormat="1" applyFont="1" applyFill="1" applyBorder="1"/>
    <xf numFmtId="2" fontId="41" fillId="17" borderId="3" xfId="0" applyNumberFormat="1" applyFont="1" applyFill="1" applyBorder="1"/>
    <xf numFmtId="1" fontId="41" fillId="17" borderId="3" xfId="0" applyNumberFormat="1" applyFont="1" applyFill="1" applyBorder="1"/>
    <xf numFmtId="1" fontId="41" fillId="17" borderId="3" xfId="0" applyNumberFormat="1" applyFont="1" applyFill="1" applyBorder="1" applyAlignment="1">
      <alignment horizontal="center"/>
    </xf>
    <xf numFmtId="2" fontId="41" fillId="17" borderId="35" xfId="0" applyNumberFormat="1" applyFont="1" applyFill="1" applyBorder="1"/>
    <xf numFmtId="2" fontId="55" fillId="17" borderId="9" xfId="0" applyNumberFormat="1" applyFont="1" applyFill="1" applyBorder="1" applyAlignment="1">
      <alignment horizontal="left"/>
    </xf>
    <xf numFmtId="2" fontId="45" fillId="17" borderId="11" xfId="0" applyNumberFormat="1" applyFont="1" applyFill="1" applyBorder="1" applyAlignment="1">
      <alignment horizontal="right"/>
    </xf>
    <xf numFmtId="2" fontId="0" fillId="17" borderId="1" xfId="0" applyNumberFormat="1" applyFill="1" applyBorder="1"/>
    <xf numFmtId="1" fontId="0" fillId="17" borderId="1" xfId="0" applyNumberFormat="1" applyFill="1" applyBorder="1"/>
    <xf numFmtId="1" fontId="12" fillId="17" borderId="1" xfId="0" applyNumberFormat="1" applyFont="1" applyFill="1" applyBorder="1" applyAlignment="1">
      <alignment horizontal="center"/>
    </xf>
    <xf numFmtId="2" fontId="0" fillId="17" borderId="4" xfId="0" applyNumberFormat="1" applyFill="1" applyBorder="1"/>
    <xf numFmtId="2" fontId="0" fillId="17" borderId="60" xfId="0" applyNumberFormat="1" applyFill="1" applyBorder="1"/>
    <xf numFmtId="1" fontId="0" fillId="17" borderId="12" xfId="0" applyNumberFormat="1" applyFill="1" applyBorder="1"/>
    <xf numFmtId="2" fontId="0" fillId="17" borderId="3" xfId="0" applyNumberFormat="1" applyFill="1" applyBorder="1"/>
    <xf numFmtId="1" fontId="57" fillId="17" borderId="10" xfId="0" applyNumberFormat="1" applyFont="1" applyFill="1" applyBorder="1" applyAlignment="1">
      <alignment horizontal="right"/>
    </xf>
    <xf numFmtId="1" fontId="45" fillId="17" borderId="10" xfId="0" applyNumberFormat="1" applyFont="1" applyFill="1" applyBorder="1" applyAlignment="1">
      <alignment horizontal="right"/>
    </xf>
    <xf numFmtId="2" fontId="45" fillId="17" borderId="10" xfId="0" applyNumberFormat="1" applyFont="1" applyFill="1" applyBorder="1" applyAlignment="1">
      <alignment horizontal="right"/>
    </xf>
    <xf numFmtId="1" fontId="41" fillId="17" borderId="1" xfId="0" applyNumberFormat="1" applyFont="1" applyFill="1" applyBorder="1" applyAlignment="1">
      <alignment horizontal="center"/>
    </xf>
    <xf numFmtId="2" fontId="41" fillId="17" borderId="60" xfId="0" applyNumberFormat="1" applyFont="1" applyFill="1" applyBorder="1"/>
    <xf numFmtId="2" fontId="14" fillId="17" borderId="0" xfId="0" applyNumberFormat="1" applyFont="1" applyFill="1"/>
    <xf numFmtId="1" fontId="0" fillId="17" borderId="1" xfId="0" applyNumberFormat="1" applyFont="1" applyFill="1" applyBorder="1" applyAlignment="1">
      <alignment horizontal="right"/>
    </xf>
    <xf numFmtId="1" fontId="14" fillId="17" borderId="0" xfId="0" applyNumberFormat="1" applyFont="1" applyFill="1"/>
    <xf numFmtId="1" fontId="57" fillId="17" borderId="14" xfId="0" applyNumberFormat="1" applyFont="1" applyFill="1" applyBorder="1" applyAlignment="1">
      <alignment horizontal="right"/>
    </xf>
    <xf numFmtId="1" fontId="58" fillId="17" borderId="14" xfId="0" applyNumberFormat="1" applyFont="1" applyFill="1" applyBorder="1" applyAlignment="1">
      <alignment horizontal="right"/>
    </xf>
    <xf numFmtId="2" fontId="58" fillId="17" borderId="15" xfId="0" applyNumberFormat="1" applyFont="1" applyFill="1" applyBorder="1" applyAlignment="1">
      <alignment horizontal="right"/>
    </xf>
    <xf numFmtId="2" fontId="14" fillId="17" borderId="0" xfId="0" applyNumberFormat="1" applyFont="1" applyFill="1" applyBorder="1"/>
    <xf numFmtId="166" fontId="14" fillId="17" borderId="0" xfId="0" applyNumberFormat="1" applyFont="1" applyFill="1" applyBorder="1"/>
    <xf numFmtId="2" fontId="14" fillId="17" borderId="1" xfId="0" applyNumberFormat="1" applyFont="1" applyFill="1" applyBorder="1"/>
    <xf numFmtId="2" fontId="14" fillId="17" borderId="3" xfId="0" applyNumberFormat="1" applyFont="1" applyFill="1" applyBorder="1"/>
    <xf numFmtId="2" fontId="14" fillId="17" borderId="4" xfId="0" applyNumberFormat="1" applyFont="1" applyFill="1" applyBorder="1"/>
    <xf numFmtId="2" fontId="14" fillId="17" borderId="35" xfId="0" applyNumberFormat="1" applyFont="1" applyFill="1" applyBorder="1"/>
    <xf numFmtId="2" fontId="57" fillId="17" borderId="10" xfId="0" applyNumberFormat="1" applyFont="1" applyFill="1" applyBorder="1" applyAlignment="1">
      <alignment horizontal="right"/>
    </xf>
    <xf numFmtId="2" fontId="57" fillId="17" borderId="11" xfId="0" applyNumberFormat="1" applyFont="1" applyFill="1" applyBorder="1" applyAlignment="1">
      <alignment horizontal="right"/>
    </xf>
    <xf numFmtId="1" fontId="14" fillId="17" borderId="0" xfId="0" applyNumberFormat="1" applyFont="1" applyFill="1" applyBorder="1"/>
    <xf numFmtId="1" fontId="56" fillId="17" borderId="1" xfId="0" applyNumberFormat="1" applyFont="1" applyFill="1" applyBorder="1" applyAlignment="1">
      <alignment horizontal="center"/>
    </xf>
    <xf numFmtId="2" fontId="14" fillId="17" borderId="60" xfId="0" applyNumberFormat="1" applyFont="1" applyFill="1" applyBorder="1"/>
    <xf numFmtId="1" fontId="14" fillId="17" borderId="4" xfId="0" applyNumberFormat="1" applyFont="1" applyFill="1" applyBorder="1"/>
    <xf numFmtId="168" fontId="39" fillId="17" borderId="3" xfId="0" applyNumberFormat="1" applyFont="1" applyFill="1" applyBorder="1" applyAlignment="1">
      <alignment horizontal="left" indent="1"/>
    </xf>
    <xf numFmtId="2" fontId="59" fillId="17" borderId="4" xfId="0" applyNumberFormat="1" applyFont="1" applyFill="1" applyBorder="1"/>
    <xf numFmtId="2" fontId="59" fillId="17" borderId="35" xfId="0" applyNumberFormat="1" applyFont="1" applyFill="1" applyBorder="1"/>
    <xf numFmtId="1" fontId="57" fillId="17" borderId="16" xfId="0" applyNumberFormat="1" applyFont="1" applyFill="1" applyBorder="1" applyAlignment="1">
      <alignment horizontal="right"/>
    </xf>
    <xf numFmtId="1" fontId="45" fillId="17" borderId="16" xfId="0" applyNumberFormat="1" applyFont="1" applyFill="1" applyBorder="1" applyAlignment="1">
      <alignment horizontal="right"/>
    </xf>
    <xf numFmtId="2" fontId="45" fillId="17" borderId="16" xfId="0" applyNumberFormat="1" applyFont="1" applyFill="1" applyBorder="1" applyAlignment="1">
      <alignment horizontal="right"/>
    </xf>
    <xf numFmtId="2" fontId="45" fillId="17" borderId="59" xfId="0" applyNumberFormat="1" applyFont="1" applyFill="1" applyBorder="1" applyAlignment="1">
      <alignment horizontal="right"/>
    </xf>
    <xf numFmtId="168" fontId="39" fillId="17" borderId="1" xfId="0" applyNumberFormat="1" applyFont="1" applyFill="1" applyBorder="1" applyAlignment="1">
      <alignment horizontal="left" indent="1"/>
    </xf>
    <xf numFmtId="2" fontId="14" fillId="22" borderId="0" xfId="0" applyNumberFormat="1" applyFont="1" applyFill="1"/>
    <xf numFmtId="2" fontId="55" fillId="17" borderId="32" xfId="0" applyNumberFormat="1" applyFont="1" applyFill="1" applyBorder="1" applyAlignment="1">
      <alignment horizontal="left"/>
    </xf>
    <xf numFmtId="1" fontId="57" fillId="17" borderId="3" xfId="0" applyNumberFormat="1" applyFont="1" applyFill="1" applyBorder="1" applyAlignment="1">
      <alignment horizontal="right"/>
    </xf>
    <xf numFmtId="2" fontId="57" fillId="17" borderId="3" xfId="0" applyNumberFormat="1" applyFont="1" applyFill="1" applyBorder="1" applyAlignment="1">
      <alignment horizontal="right"/>
    </xf>
    <xf numFmtId="2" fontId="57" fillId="17" borderId="34" xfId="0" applyNumberFormat="1" applyFont="1" applyFill="1" applyBorder="1" applyAlignment="1">
      <alignment horizontal="right"/>
    </xf>
    <xf numFmtId="1" fontId="56" fillId="17" borderId="3" xfId="0" applyNumberFormat="1" applyFont="1" applyFill="1" applyBorder="1" applyAlignment="1">
      <alignment horizontal="center"/>
    </xf>
    <xf numFmtId="2" fontId="14" fillId="17" borderId="7" xfId="0" applyNumberFormat="1" applyFont="1" applyFill="1" applyBorder="1"/>
    <xf numFmtId="1" fontId="42" fillId="17" borderId="0" xfId="0" applyNumberFormat="1" applyFont="1" applyFill="1" applyBorder="1"/>
    <xf numFmtId="1" fontId="0" fillId="17" borderId="4" xfId="0" applyNumberFormat="1" applyFill="1" applyBorder="1"/>
    <xf numFmtId="2" fontId="60" fillId="17" borderId="4" xfId="0" applyNumberFormat="1" applyFont="1" applyFill="1" applyBorder="1"/>
    <xf numFmtId="2" fontId="60" fillId="17" borderId="35" xfId="0" applyNumberFormat="1" applyFont="1" applyFill="1" applyBorder="1"/>
    <xf numFmtId="1" fontId="39" fillId="20" borderId="0" xfId="0" applyNumberFormat="1" applyFont="1" applyFill="1"/>
    <xf numFmtId="1" fontId="42" fillId="20" borderId="6" xfId="0" applyNumberFormat="1" applyFont="1" applyFill="1" applyBorder="1" applyAlignment="1">
      <alignment horizontal="right"/>
    </xf>
    <xf numFmtId="1" fontId="42" fillId="20" borderId="1" xfId="0" applyNumberFormat="1" applyFont="1" applyFill="1" applyBorder="1" applyAlignment="1">
      <alignment horizontal="right"/>
    </xf>
    <xf numFmtId="2" fontId="42" fillId="20" borderId="1" xfId="0" applyNumberFormat="1" applyFont="1" applyFill="1" applyBorder="1" applyAlignment="1">
      <alignment horizontal="right"/>
    </xf>
    <xf numFmtId="2" fontId="42" fillId="20" borderId="12" xfId="0" applyNumberFormat="1" applyFont="1" applyFill="1" applyBorder="1" applyAlignment="1">
      <alignment horizontal="right"/>
    </xf>
    <xf numFmtId="1" fontId="42" fillId="20" borderId="0" xfId="0" applyNumberFormat="1" applyFont="1" applyFill="1" applyBorder="1" applyAlignment="1">
      <alignment horizontal="right"/>
    </xf>
    <xf numFmtId="1" fontId="39" fillId="20" borderId="0" xfId="0" applyNumberFormat="1" applyFont="1" applyFill="1" applyBorder="1"/>
    <xf numFmtId="1" fontId="0" fillId="20" borderId="0" xfId="0" applyNumberFormat="1" applyFill="1" applyBorder="1"/>
    <xf numFmtId="2" fontId="41" fillId="20" borderId="0" xfId="0" applyNumberFormat="1" applyFont="1" applyFill="1" applyBorder="1"/>
    <xf numFmtId="2" fontId="39" fillId="20" borderId="0" xfId="0" applyNumberFormat="1" applyFont="1" applyFill="1" applyBorder="1"/>
    <xf numFmtId="166" fontId="39" fillId="20" borderId="0" xfId="0" applyNumberFormat="1" applyFont="1" applyFill="1" applyBorder="1"/>
    <xf numFmtId="1" fontId="39" fillId="10" borderId="1" xfId="0" applyNumberFormat="1" applyFont="1" applyFill="1" applyBorder="1"/>
    <xf numFmtId="1" fontId="39" fillId="10" borderId="4" xfId="0" applyNumberFormat="1" applyFont="1" applyFill="1" applyBorder="1"/>
    <xf numFmtId="1" fontId="14" fillId="10" borderId="6" xfId="0" applyNumberFormat="1" applyFont="1" applyFill="1" applyBorder="1" applyAlignment="1">
      <alignment horizontal="center"/>
    </xf>
    <xf numFmtId="1" fontId="14" fillId="10" borderId="1" xfId="0" applyNumberFormat="1" applyFont="1" applyFill="1" applyBorder="1" applyAlignment="1">
      <alignment horizontal="center"/>
    </xf>
    <xf numFmtId="1" fontId="56" fillId="10" borderId="1" xfId="0" applyNumberFormat="1" applyFont="1" applyFill="1" applyBorder="1"/>
    <xf numFmtId="1" fontId="39" fillId="20" borderId="1" xfId="0" applyNumberFormat="1" applyFont="1" applyFill="1" applyBorder="1"/>
    <xf numFmtId="2" fontId="41" fillId="20" borderId="4" xfId="0" applyNumberFormat="1" applyFont="1" applyFill="1" applyBorder="1"/>
    <xf numFmtId="1" fontId="56" fillId="17" borderId="0" xfId="0" applyNumberFormat="1" applyFont="1" applyFill="1"/>
    <xf numFmtId="1" fontId="56" fillId="17" borderId="0" xfId="0" applyNumberFormat="1" applyFont="1" applyFill="1" applyBorder="1"/>
    <xf numFmtId="1" fontId="56" fillId="17" borderId="1" xfId="0" applyNumberFormat="1" applyFont="1" applyFill="1" applyBorder="1"/>
    <xf numFmtId="1" fontId="56" fillId="17" borderId="4" xfId="0" applyNumberFormat="1" applyFont="1" applyFill="1" applyBorder="1"/>
    <xf numFmtId="1" fontId="14" fillId="17" borderId="3" xfId="0" applyNumberFormat="1" applyFont="1" applyFill="1" applyBorder="1"/>
    <xf numFmtId="1" fontId="39" fillId="17" borderId="60" xfId="0" applyNumberFormat="1" applyFont="1" applyFill="1" applyBorder="1"/>
    <xf numFmtId="2" fontId="58" fillId="17" borderId="12" xfId="0" applyNumberFormat="1" applyFont="1" applyFill="1" applyBorder="1" applyAlignment="1">
      <alignment horizontal="right"/>
    </xf>
    <xf numFmtId="1" fontId="39" fillId="17" borderId="3" xfId="0" applyNumberFormat="1" applyFont="1" applyFill="1" applyBorder="1"/>
    <xf numFmtId="1" fontId="42" fillId="17" borderId="11" xfId="0" applyNumberFormat="1" applyFont="1" applyFill="1" applyBorder="1" applyAlignment="1">
      <alignment horizontal="right"/>
    </xf>
    <xf numFmtId="2" fontId="45" fillId="17" borderId="2" xfId="0" applyNumberFormat="1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right"/>
    </xf>
    <xf numFmtId="2" fontId="45" fillId="17" borderId="61" xfId="0" applyNumberFormat="1" applyFont="1" applyFill="1" applyBorder="1" applyAlignment="1">
      <alignment horizontal="right"/>
    </xf>
    <xf numFmtId="2" fontId="57" fillId="17" borderId="1" xfId="0" applyNumberFormat="1" applyFont="1" applyFill="1" applyBorder="1"/>
    <xf numFmtId="1" fontId="42" fillId="17" borderId="14" xfId="0" applyNumberFormat="1" applyFont="1" applyFill="1" applyBorder="1" applyAlignment="1">
      <alignment horizontal="right"/>
    </xf>
    <xf numFmtId="1" fontId="57" fillId="17" borderId="18" xfId="0" applyNumberFormat="1" applyFont="1" applyFill="1" applyBorder="1" applyAlignment="1">
      <alignment horizontal="right"/>
    </xf>
    <xf numFmtId="2" fontId="42" fillId="17" borderId="14" xfId="0" applyNumberFormat="1" applyFont="1" applyFill="1" applyBorder="1" applyAlignment="1">
      <alignment horizontal="right"/>
    </xf>
    <xf numFmtId="2" fontId="42" fillId="17" borderId="15" xfId="0" applyNumberFormat="1" applyFont="1" applyFill="1" applyBorder="1" applyAlignment="1">
      <alignment horizontal="right"/>
    </xf>
    <xf numFmtId="2" fontId="41" fillId="17" borderId="7" xfId="0" applyNumberFormat="1" applyFont="1" applyFill="1" applyBorder="1"/>
    <xf numFmtId="2" fontId="42" fillId="17" borderId="1" xfId="0" applyNumberFormat="1" applyFont="1" applyFill="1" applyBorder="1" applyAlignment="1">
      <alignment horizontal="left"/>
    </xf>
    <xf numFmtId="2" fontId="58" fillId="17" borderId="14" xfId="0" applyNumberFormat="1" applyFont="1" applyFill="1" applyBorder="1" applyAlignment="1">
      <alignment horizontal="right"/>
    </xf>
    <xf numFmtId="1" fontId="58" fillId="17" borderId="10" xfId="0" applyNumberFormat="1" applyFont="1" applyFill="1" applyBorder="1" applyAlignment="1">
      <alignment horizontal="right"/>
    </xf>
    <xf numFmtId="2" fontId="58" fillId="17" borderId="10" xfId="0" applyNumberFormat="1" applyFont="1" applyFill="1" applyBorder="1" applyAlignment="1">
      <alignment horizontal="right"/>
    </xf>
    <xf numFmtId="2" fontId="58" fillId="17" borderId="11" xfId="0" applyNumberFormat="1" applyFont="1" applyFill="1" applyBorder="1" applyAlignment="1">
      <alignment horizontal="right"/>
    </xf>
    <xf numFmtId="1" fontId="14" fillId="12" borderId="1" xfId="0" applyNumberFormat="1" applyFont="1" applyFill="1" applyBorder="1" applyAlignment="1">
      <alignment horizontal="right"/>
    </xf>
    <xf numFmtId="1" fontId="42" fillId="17" borderId="12" xfId="0" applyNumberFormat="1" applyFont="1" applyFill="1" applyBorder="1" applyAlignment="1">
      <alignment horizontal="right"/>
    </xf>
    <xf numFmtId="2" fontId="41" fillId="17" borderId="3" xfId="0" applyNumberFormat="1" applyFont="1" applyFill="1" applyBorder="1" applyAlignment="1">
      <alignment horizontal="center"/>
    </xf>
    <xf numFmtId="165" fontId="41" fillId="17" borderId="3" xfId="0" applyNumberFormat="1" applyFont="1" applyFill="1" applyBorder="1" applyAlignment="1">
      <alignment horizontal="center"/>
    </xf>
    <xf numFmtId="1" fontId="58" fillId="2" borderId="14" xfId="0" applyNumberFormat="1" applyFont="1" applyFill="1" applyBorder="1" applyAlignment="1">
      <alignment horizontal="right"/>
    </xf>
    <xf numFmtId="2" fontId="39" fillId="17" borderId="4" xfId="0" applyNumberFormat="1" applyFont="1" applyFill="1" applyBorder="1"/>
    <xf numFmtId="2" fontId="39" fillId="17" borderId="35" xfId="0" applyNumberFormat="1" applyFont="1" applyFill="1" applyBorder="1"/>
    <xf numFmtId="2" fontId="55" fillId="17" borderId="52" xfId="0" applyNumberFormat="1" applyFont="1" applyFill="1" applyBorder="1" applyAlignment="1">
      <alignment horizontal="left"/>
    </xf>
    <xf numFmtId="1" fontId="42" fillId="17" borderId="18" xfId="0" applyNumberFormat="1" applyFont="1" applyFill="1" applyBorder="1" applyAlignment="1">
      <alignment horizontal="right"/>
    </xf>
    <xf numFmtId="1" fontId="39" fillId="17" borderId="7" xfId="0" applyNumberFormat="1" applyFont="1" applyFill="1" applyBorder="1"/>
    <xf numFmtId="1" fontId="58" fillId="17" borderId="0" xfId="0" applyNumberFormat="1" applyFont="1" applyFill="1" applyBorder="1" applyAlignment="1">
      <alignment horizontal="right"/>
    </xf>
    <xf numFmtId="1" fontId="57" fillId="17" borderId="4" xfId="0" applyNumberFormat="1" applyFont="1" applyFill="1" applyBorder="1" applyAlignment="1">
      <alignment horizontal="center"/>
    </xf>
    <xf numFmtId="1" fontId="41" fillId="17" borderId="1" xfId="0" applyNumberFormat="1" applyFont="1" applyFill="1" applyBorder="1"/>
    <xf numFmtId="1" fontId="41" fillId="17" borderId="4" xfId="0" applyNumberFormat="1" applyFont="1" applyFill="1" applyBorder="1"/>
    <xf numFmtId="168" fontId="42" fillId="17" borderId="1" xfId="0" applyNumberFormat="1" applyFont="1" applyFill="1" applyBorder="1" applyAlignment="1">
      <alignment horizontal="left"/>
    </xf>
    <xf numFmtId="1" fontId="58" fillId="17" borderId="1" xfId="0" applyNumberFormat="1" applyFont="1" applyFill="1" applyBorder="1" applyAlignment="1">
      <alignment horizontal="right"/>
    </xf>
    <xf numFmtId="2" fontId="57" fillId="17" borderId="12" xfId="0" applyNumberFormat="1" applyFont="1" applyFill="1" applyBorder="1" applyAlignment="1">
      <alignment horizontal="right"/>
    </xf>
    <xf numFmtId="1" fontId="14" fillId="2" borderId="6" xfId="0" applyNumberFormat="1" applyFont="1" applyFill="1" applyBorder="1" applyAlignment="1">
      <alignment horizontal="center"/>
    </xf>
    <xf numFmtId="0" fontId="57" fillId="17" borderId="1" xfId="0" applyNumberFormat="1" applyFont="1" applyFill="1" applyBorder="1" applyAlignment="1">
      <alignment horizontal="right"/>
    </xf>
    <xf numFmtId="168" fontId="39" fillId="17" borderId="3" xfId="0" applyNumberFormat="1" applyFont="1" applyFill="1" applyBorder="1"/>
    <xf numFmtId="1" fontId="41" fillId="20" borderId="1" xfId="0" applyNumberFormat="1" applyFont="1" applyFill="1" applyBorder="1" applyAlignment="1">
      <alignment horizontal="center"/>
    </xf>
    <xf numFmtId="1" fontId="41" fillId="17" borderId="4" xfId="0" applyNumberFormat="1" applyFont="1" applyFill="1" applyBorder="1" applyAlignment="1">
      <alignment horizontal="center"/>
    </xf>
    <xf numFmtId="1" fontId="41" fillId="17" borderId="60" xfId="0" applyNumberFormat="1" applyFont="1" applyFill="1" applyBorder="1" applyAlignment="1">
      <alignment horizontal="center"/>
    </xf>
    <xf numFmtId="2" fontId="45" fillId="17" borderId="31" xfId="0" applyNumberFormat="1" applyFont="1" applyFill="1" applyBorder="1"/>
    <xf numFmtId="1" fontId="42" fillId="17" borderId="2" xfId="0" applyNumberFormat="1" applyFont="1" applyFill="1" applyBorder="1" applyAlignment="1">
      <alignment horizontal="right"/>
    </xf>
    <xf numFmtId="1" fontId="58" fillId="17" borderId="2" xfId="0" applyNumberFormat="1" applyFont="1" applyFill="1" applyBorder="1" applyAlignment="1">
      <alignment horizontal="right"/>
    </xf>
    <xf numFmtId="2" fontId="58" fillId="17" borderId="2" xfId="0" applyNumberFormat="1" applyFont="1" applyFill="1" applyBorder="1" applyAlignment="1">
      <alignment horizontal="right"/>
    </xf>
    <xf numFmtId="2" fontId="58" fillId="17" borderId="61" xfId="0" applyNumberFormat="1" applyFont="1" applyFill="1" applyBorder="1" applyAlignment="1">
      <alignment horizontal="right"/>
    </xf>
    <xf numFmtId="1" fontId="39" fillId="17" borderId="2" xfId="0" applyNumberFormat="1" applyFont="1" applyFill="1" applyBorder="1"/>
    <xf numFmtId="1" fontId="39" fillId="17" borderId="16" xfId="0" applyNumberFormat="1" applyFont="1" applyFill="1" applyBorder="1"/>
    <xf numFmtId="2" fontId="39" fillId="17" borderId="16" xfId="0" applyNumberFormat="1" applyFont="1" applyFill="1" applyBorder="1"/>
    <xf numFmtId="1" fontId="41" fillId="17" borderId="16" xfId="0" applyNumberFormat="1" applyFont="1" applyFill="1" applyBorder="1" applyAlignment="1">
      <alignment horizontal="center"/>
    </xf>
    <xf numFmtId="1" fontId="14" fillId="17" borderId="16" xfId="0" applyNumberFormat="1" applyFont="1" applyFill="1" applyBorder="1" applyAlignment="1">
      <alignment horizontal="center"/>
    </xf>
    <xf numFmtId="1" fontId="14" fillId="17" borderId="2" xfId="0" applyNumberFormat="1" applyFont="1" applyFill="1" applyBorder="1" applyAlignment="1">
      <alignment horizontal="center"/>
    </xf>
    <xf numFmtId="1" fontId="56" fillId="20" borderId="2" xfId="0" applyNumberFormat="1" applyFont="1" applyFill="1" applyBorder="1"/>
    <xf numFmtId="1" fontId="41" fillId="17" borderId="10" xfId="0" applyNumberFormat="1" applyFont="1" applyFill="1" applyBorder="1" applyAlignment="1">
      <alignment horizontal="center"/>
    </xf>
    <xf numFmtId="2" fontId="41" fillId="17" borderId="55" xfId="0" applyNumberFormat="1" applyFont="1" applyFill="1" applyBorder="1"/>
    <xf numFmtId="2" fontId="42" fillId="17" borderId="32" xfId="0" applyNumberFormat="1" applyFont="1" applyFill="1" applyBorder="1"/>
    <xf numFmtId="165" fontId="39" fillId="17" borderId="3" xfId="0" applyNumberFormat="1" applyFont="1" applyFill="1" applyBorder="1"/>
    <xf numFmtId="2" fontId="45" fillId="17" borderId="13" xfId="0" applyNumberFormat="1" applyFont="1" applyFill="1" applyBorder="1"/>
    <xf numFmtId="1" fontId="39" fillId="17" borderId="14" xfId="0" applyNumberFormat="1" applyFont="1" applyFill="1" applyBorder="1"/>
    <xf numFmtId="1" fontId="41" fillId="17" borderId="14" xfId="0" applyNumberFormat="1" applyFont="1" applyFill="1" applyBorder="1" applyAlignment="1">
      <alignment horizontal="center"/>
    </xf>
    <xf numFmtId="2" fontId="41" fillId="17" borderId="62" xfId="0" applyNumberFormat="1" applyFont="1" applyFill="1" applyBorder="1"/>
    <xf numFmtId="2" fontId="45" fillId="17" borderId="12" xfId="0" applyNumberFormat="1" applyFont="1" applyFill="1" applyBorder="1" applyAlignment="1">
      <alignment horizontal="right"/>
    </xf>
    <xf numFmtId="1" fontId="0" fillId="17" borderId="14" xfId="0" applyNumberFormat="1" applyFill="1" applyBorder="1"/>
    <xf numFmtId="2" fontId="39" fillId="17" borderId="14" xfId="0" applyNumberFormat="1" applyFont="1" applyFill="1" applyBorder="1"/>
    <xf numFmtId="166" fontId="39" fillId="17" borderId="14" xfId="0" applyNumberFormat="1" applyFont="1" applyFill="1" applyBorder="1"/>
    <xf numFmtId="1" fontId="39" fillId="17" borderId="62" xfId="0" applyNumberFormat="1" applyFont="1" applyFill="1" applyBorder="1"/>
    <xf numFmtId="1" fontId="58" fillId="17" borderId="18" xfId="0" applyNumberFormat="1" applyFont="1" applyFill="1" applyBorder="1" applyAlignment="1">
      <alignment horizontal="right"/>
    </xf>
    <xf numFmtId="1" fontId="58" fillId="17" borderId="62" xfId="0" applyNumberFormat="1" applyFont="1" applyFill="1" applyBorder="1" applyAlignment="1">
      <alignment horizontal="right"/>
    </xf>
    <xf numFmtId="1" fontId="58" fillId="17" borderId="33" xfId="0" applyNumberFormat="1" applyFont="1" applyFill="1" applyBorder="1" applyAlignment="1">
      <alignment horizontal="right"/>
    </xf>
    <xf numFmtId="1" fontId="39" fillId="17" borderId="33" xfId="0" applyNumberFormat="1" applyFont="1" applyFill="1" applyBorder="1"/>
    <xf numFmtId="1" fontId="42" fillId="17" borderId="3" xfId="0" applyNumberFormat="1" applyFont="1" applyFill="1" applyBorder="1" applyAlignment="1">
      <alignment horizontal="right"/>
    </xf>
    <xf numFmtId="2" fontId="42" fillId="17" borderId="3" xfId="0" applyNumberFormat="1" applyFont="1" applyFill="1" applyBorder="1" applyAlignment="1">
      <alignment horizontal="right"/>
    </xf>
    <xf numFmtId="2" fontId="42" fillId="17" borderId="34" xfId="0" applyNumberFormat="1" applyFont="1" applyFill="1" applyBorder="1" applyAlignment="1">
      <alignment horizontal="right"/>
    </xf>
    <xf numFmtId="1" fontId="56" fillId="20" borderId="3" xfId="0" applyNumberFormat="1" applyFont="1" applyFill="1" applyBorder="1"/>
    <xf numFmtId="1" fontId="39" fillId="22" borderId="0" xfId="0" applyNumberFormat="1" applyFont="1" applyFill="1"/>
    <xf numFmtId="1" fontId="58" fillId="17" borderId="8" xfId="0" applyNumberFormat="1" applyFont="1" applyFill="1" applyBorder="1" applyAlignment="1">
      <alignment horizontal="right"/>
    </xf>
    <xf numFmtId="1" fontId="58" fillId="17" borderId="60" xfId="0" applyNumberFormat="1" applyFont="1" applyFill="1" applyBorder="1" applyAlignment="1">
      <alignment horizontal="right"/>
    </xf>
    <xf numFmtId="1" fontId="58" fillId="17" borderId="16" xfId="0" applyNumberFormat="1" applyFont="1" applyFill="1" applyBorder="1" applyAlignment="1">
      <alignment horizontal="right"/>
    </xf>
    <xf numFmtId="168" fontId="56" fillId="17" borderId="16" xfId="0" applyNumberFormat="1" applyFont="1" applyFill="1" applyBorder="1" applyAlignment="1">
      <alignment horizontal="left" indent="1"/>
    </xf>
    <xf numFmtId="1" fontId="41" fillId="20" borderId="14" xfId="0" applyNumberFormat="1" applyFont="1" applyFill="1" applyBorder="1" applyAlignment="1">
      <alignment horizontal="center"/>
    </xf>
    <xf numFmtId="1" fontId="41" fillId="17" borderId="62" xfId="0" applyNumberFormat="1" applyFont="1" applyFill="1" applyBorder="1" applyAlignment="1">
      <alignment horizontal="center"/>
    </xf>
    <xf numFmtId="1" fontId="41" fillId="17" borderId="7" xfId="0" applyNumberFormat="1" applyFont="1" applyFill="1" applyBorder="1" applyAlignment="1">
      <alignment horizontal="center"/>
    </xf>
    <xf numFmtId="2" fontId="55" fillId="17" borderId="31" xfId="0" applyNumberFormat="1" applyFont="1" applyFill="1" applyBorder="1" applyAlignment="1">
      <alignment horizontal="left"/>
    </xf>
    <xf numFmtId="1" fontId="42" fillId="17" borderId="16" xfId="0" applyNumberFormat="1" applyFont="1" applyFill="1" applyBorder="1" applyAlignment="1">
      <alignment horizontal="right"/>
    </xf>
    <xf numFmtId="2" fontId="42" fillId="17" borderId="16" xfId="0" applyNumberFormat="1" applyFont="1" applyFill="1" applyBorder="1" applyAlignment="1">
      <alignment horizontal="right"/>
    </xf>
    <xf numFmtId="2" fontId="42" fillId="17" borderId="59" xfId="0" applyNumberFormat="1" applyFont="1" applyFill="1" applyBorder="1" applyAlignment="1">
      <alignment horizontal="right"/>
    </xf>
    <xf numFmtId="1" fontId="41" fillId="20" borderId="16" xfId="0" applyNumberFormat="1" applyFont="1" applyFill="1" applyBorder="1" applyAlignment="1">
      <alignment horizontal="center"/>
    </xf>
    <xf numFmtId="1" fontId="39" fillId="17" borderId="11" xfId="0" applyNumberFormat="1" applyFont="1" applyFill="1" applyBorder="1"/>
    <xf numFmtId="1" fontId="39" fillId="17" borderId="5" xfId="0" applyNumberFormat="1" applyFont="1" applyFill="1" applyBorder="1"/>
    <xf numFmtId="1" fontId="39" fillId="17" borderId="12" xfId="0" applyNumberFormat="1" applyFont="1" applyFill="1" applyBorder="1"/>
    <xf numFmtId="1" fontId="14" fillId="17" borderId="33" xfId="0" applyNumberFormat="1" applyFont="1" applyFill="1" applyBorder="1"/>
    <xf numFmtId="1" fontId="39" fillId="17" borderId="15" xfId="0" applyNumberFormat="1" applyFont="1" applyFill="1" applyBorder="1"/>
    <xf numFmtId="2" fontId="41" fillId="17" borderId="5" xfId="0" applyNumberFormat="1" applyFont="1" applyFill="1" applyBorder="1"/>
    <xf numFmtId="2" fontId="41" fillId="17" borderId="19" xfId="0" applyNumberFormat="1" applyFont="1" applyFill="1" applyBorder="1"/>
    <xf numFmtId="1" fontId="41" fillId="20" borderId="10" xfId="0" applyNumberFormat="1" applyFont="1" applyFill="1" applyBorder="1" applyAlignment="1">
      <alignment horizontal="center"/>
    </xf>
    <xf numFmtId="2" fontId="41" fillId="17" borderId="63" xfId="0" applyNumberFormat="1" applyFont="1" applyFill="1" applyBorder="1"/>
    <xf numFmtId="1" fontId="39" fillId="10" borderId="0" xfId="0" applyNumberFormat="1" applyFont="1" applyFill="1"/>
    <xf numFmtId="1" fontId="42" fillId="10" borderId="6" xfId="0" applyNumberFormat="1" applyFont="1" applyFill="1" applyBorder="1" applyAlignment="1">
      <alignment horizontal="right"/>
    </xf>
    <xf numFmtId="1" fontId="42" fillId="10" borderId="1" xfId="0" applyNumberFormat="1" applyFont="1" applyFill="1" applyBorder="1" applyAlignment="1">
      <alignment horizontal="right"/>
    </xf>
    <xf numFmtId="2" fontId="42" fillId="10" borderId="1" xfId="0" applyNumberFormat="1" applyFont="1" applyFill="1" applyBorder="1" applyAlignment="1">
      <alignment horizontal="right"/>
    </xf>
    <xf numFmtId="2" fontId="42" fillId="10" borderId="12" xfId="0" applyNumberFormat="1" applyFont="1" applyFill="1" applyBorder="1" applyAlignment="1">
      <alignment horizontal="right"/>
    </xf>
    <xf numFmtId="1" fontId="42" fillId="10" borderId="0" xfId="0" applyNumberFormat="1" applyFont="1" applyFill="1" applyBorder="1" applyAlignment="1">
      <alignment horizontal="right"/>
    </xf>
    <xf numFmtId="1" fontId="39" fillId="10" borderId="0" xfId="0" applyNumberFormat="1" applyFont="1" applyFill="1" applyBorder="1"/>
    <xf numFmtId="1" fontId="0" fillId="10" borderId="0" xfId="0" applyNumberFormat="1" applyFill="1" applyBorder="1"/>
    <xf numFmtId="2" fontId="39" fillId="10" borderId="0" xfId="0" applyNumberFormat="1" applyFont="1" applyFill="1" applyBorder="1"/>
    <xf numFmtId="166" fontId="39" fillId="10" borderId="0" xfId="0" applyNumberFormat="1" applyFont="1" applyFill="1" applyBorder="1"/>
    <xf numFmtId="1" fontId="39" fillId="10" borderId="12" xfId="0" applyNumberFormat="1" applyFont="1" applyFill="1" applyBorder="1"/>
    <xf numFmtId="2" fontId="41" fillId="10" borderId="5" xfId="0" applyNumberFormat="1" applyFont="1" applyFill="1" applyBorder="1"/>
    <xf numFmtId="1" fontId="14" fillId="17" borderId="18" xfId="0" applyNumberFormat="1" applyFont="1" applyFill="1" applyBorder="1" applyAlignment="1">
      <alignment horizontal="center"/>
    </xf>
    <xf numFmtId="1" fontId="42" fillId="17" borderId="33" xfId="0" applyNumberFormat="1" applyFont="1" applyFill="1" applyBorder="1" applyAlignment="1">
      <alignment horizontal="right"/>
    </xf>
    <xf numFmtId="2" fontId="58" fillId="17" borderId="33" xfId="0" applyNumberFormat="1" applyFont="1" applyFill="1" applyBorder="1" applyAlignment="1">
      <alignment horizontal="right"/>
    </xf>
    <xf numFmtId="2" fontId="58" fillId="17" borderId="58" xfId="0" applyNumberFormat="1" applyFont="1" applyFill="1" applyBorder="1" applyAlignment="1">
      <alignment horizontal="right"/>
    </xf>
    <xf numFmtId="1" fontId="58" fillId="17" borderId="64" xfId="0" applyNumberFormat="1" applyFont="1" applyFill="1" applyBorder="1" applyAlignment="1">
      <alignment horizontal="right"/>
    </xf>
    <xf numFmtId="2" fontId="58" fillId="17" borderId="64" xfId="0" applyNumberFormat="1" applyFont="1" applyFill="1" applyBorder="1" applyAlignment="1">
      <alignment horizontal="right"/>
    </xf>
    <xf numFmtId="2" fontId="58" fillId="17" borderId="53" xfId="0" applyNumberFormat="1" applyFont="1" applyFill="1" applyBorder="1" applyAlignment="1">
      <alignment horizontal="right"/>
    </xf>
    <xf numFmtId="1" fontId="14" fillId="22" borderId="0" xfId="0" applyNumberFormat="1" applyFont="1" applyFill="1"/>
    <xf numFmtId="1" fontId="42" fillId="22" borderId="6" xfId="0" applyNumberFormat="1" applyFont="1" applyFill="1" applyBorder="1" applyAlignment="1">
      <alignment horizontal="right"/>
    </xf>
    <xf numFmtId="1" fontId="42" fillId="22" borderId="1" xfId="0" applyNumberFormat="1" applyFont="1" applyFill="1" applyBorder="1" applyAlignment="1">
      <alignment horizontal="right"/>
    </xf>
    <xf numFmtId="2" fontId="42" fillId="22" borderId="1" xfId="0" applyNumberFormat="1" applyFont="1" applyFill="1" applyBorder="1" applyAlignment="1">
      <alignment horizontal="right"/>
    </xf>
    <xf numFmtId="2" fontId="58" fillId="22" borderId="12" xfId="0" applyNumberFormat="1" applyFont="1" applyFill="1" applyBorder="1" applyAlignment="1">
      <alignment horizontal="right"/>
    </xf>
    <xf numFmtId="1" fontId="42" fillId="22" borderId="0" xfId="0" applyNumberFormat="1" applyFont="1" applyFill="1" applyBorder="1" applyAlignment="1">
      <alignment horizontal="right"/>
    </xf>
    <xf numFmtId="1" fontId="14" fillId="22" borderId="0" xfId="0" applyNumberFormat="1" applyFont="1" applyFill="1" applyBorder="1"/>
    <xf numFmtId="1" fontId="0" fillId="22" borderId="0" xfId="0" applyNumberFormat="1" applyFill="1" applyBorder="1"/>
    <xf numFmtId="2" fontId="14" fillId="22" borderId="0" xfId="0" applyNumberFormat="1" applyFont="1" applyFill="1" applyBorder="1"/>
    <xf numFmtId="2" fontId="41" fillId="22" borderId="0" xfId="0" applyNumberFormat="1" applyFont="1" applyFill="1" applyBorder="1"/>
    <xf numFmtId="166" fontId="14" fillId="22" borderId="0" xfId="0" applyNumberFormat="1" applyFont="1" applyFill="1" applyBorder="1"/>
    <xf numFmtId="1" fontId="39" fillId="22" borderId="1" xfId="0" applyNumberFormat="1" applyFont="1" applyFill="1" applyBorder="1"/>
    <xf numFmtId="1" fontId="39" fillId="22" borderId="4" xfId="0" applyNumberFormat="1" applyFont="1" applyFill="1" applyBorder="1"/>
    <xf numFmtId="1" fontId="14" fillId="22" borderId="6" xfId="0" applyNumberFormat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1" fontId="56" fillId="22" borderId="1" xfId="0" applyNumberFormat="1" applyFont="1" applyFill="1" applyBorder="1"/>
    <xf numFmtId="2" fontId="14" fillId="22" borderId="4" xfId="0" applyNumberFormat="1" applyFont="1" applyFill="1" applyBorder="1"/>
    <xf numFmtId="2" fontId="42" fillId="22" borderId="12" xfId="0" applyNumberFormat="1" applyFont="1" applyFill="1" applyBorder="1" applyAlignment="1">
      <alignment horizontal="right"/>
    </xf>
    <xf numFmtId="1" fontId="39" fillId="22" borderId="0" xfId="0" applyNumberFormat="1" applyFont="1" applyFill="1" applyBorder="1"/>
    <xf numFmtId="2" fontId="39" fillId="22" borderId="0" xfId="0" applyNumberFormat="1" applyFont="1" applyFill="1" applyBorder="1"/>
    <xf numFmtId="166" fontId="39" fillId="22" borderId="0" xfId="0" applyNumberFormat="1" applyFont="1" applyFill="1" applyBorder="1"/>
    <xf numFmtId="2" fontId="41" fillId="22" borderId="4" xfId="0" applyNumberFormat="1" applyFont="1" applyFill="1" applyBorder="1"/>
    <xf numFmtId="2" fontId="41" fillId="22" borderId="35" xfId="0" applyNumberFormat="1" applyFont="1" applyFill="1" applyBorder="1"/>
    <xf numFmtId="1" fontId="41" fillId="17" borderId="35" xfId="0" applyNumberFormat="1" applyFont="1" applyFill="1" applyBorder="1" applyAlignment="1">
      <alignment horizontal="center"/>
    </xf>
    <xf numFmtId="1" fontId="14" fillId="17" borderId="2" xfId="0" applyNumberFormat="1" applyFont="1" applyFill="1" applyBorder="1" applyAlignment="1">
      <alignment horizontal="right"/>
    </xf>
    <xf numFmtId="2" fontId="42" fillId="17" borderId="3" xfId="0" applyNumberFormat="1" applyFont="1" applyFill="1" applyBorder="1"/>
    <xf numFmtId="1" fontId="39" fillId="17" borderId="3" xfId="0" applyNumberFormat="1" applyFont="1" applyFill="1" applyBorder="1" applyAlignment="1">
      <alignment horizontal="right"/>
    </xf>
    <xf numFmtId="1" fontId="14" fillId="17" borderId="3" xfId="0" applyNumberFormat="1" applyFont="1" applyFill="1" applyBorder="1" applyAlignment="1">
      <alignment horizontal="right"/>
    </xf>
    <xf numFmtId="2" fontId="58" fillId="17" borderId="1" xfId="0" applyNumberFormat="1" applyFont="1" applyFill="1" applyBorder="1" applyAlignment="1">
      <alignment horizontal="right"/>
    </xf>
    <xf numFmtId="1" fontId="58" fillId="2" borderId="1" xfId="0" applyNumberFormat="1" applyFont="1" applyFill="1" applyBorder="1" applyAlignment="1">
      <alignment horizontal="right"/>
    </xf>
    <xf numFmtId="1" fontId="42" fillId="2" borderId="1" xfId="0" applyNumberFormat="1" applyFont="1" applyFill="1" applyBorder="1" applyAlignment="1">
      <alignment horizontal="right"/>
    </xf>
    <xf numFmtId="1" fontId="58" fillId="17" borderId="15" xfId="0" applyNumberFormat="1" applyFont="1" applyFill="1" applyBorder="1" applyAlignment="1">
      <alignment horizontal="right"/>
    </xf>
    <xf numFmtId="1" fontId="12" fillId="17" borderId="3" xfId="0" applyNumberFormat="1" applyFont="1" applyFill="1" applyBorder="1" applyAlignment="1">
      <alignment horizontal="center"/>
    </xf>
    <xf numFmtId="2" fontId="58" fillId="17" borderId="31" xfId="0" applyNumberFormat="1" applyFont="1" applyFill="1" applyBorder="1"/>
    <xf numFmtId="2" fontId="0" fillId="17" borderId="2" xfId="0" applyNumberFormat="1" applyFill="1" applyBorder="1"/>
    <xf numFmtId="1" fontId="12" fillId="17" borderId="2" xfId="0" applyNumberFormat="1" applyFont="1" applyFill="1" applyBorder="1" applyAlignment="1">
      <alignment horizontal="center"/>
    </xf>
    <xf numFmtId="1" fontId="0" fillId="17" borderId="61" xfId="0" applyNumberFormat="1" applyFill="1" applyBorder="1"/>
    <xf numFmtId="2" fontId="58" fillId="17" borderId="20" xfId="0" applyNumberFormat="1" applyFont="1" applyFill="1" applyBorder="1"/>
    <xf numFmtId="2" fontId="0" fillId="17" borderId="57" xfId="0" applyNumberFormat="1" applyFill="1" applyBorder="1"/>
    <xf numFmtId="2" fontId="0" fillId="17" borderId="57" xfId="0" applyNumberFormat="1" applyFont="1" applyFill="1" applyBorder="1"/>
    <xf numFmtId="166" fontId="0" fillId="17" borderId="57" xfId="0" applyNumberFormat="1" applyFont="1" applyFill="1" applyBorder="1"/>
    <xf numFmtId="2" fontId="0" fillId="17" borderId="14" xfId="0" applyNumberFormat="1" applyFill="1" applyBorder="1"/>
    <xf numFmtId="2" fontId="0" fillId="17" borderId="62" xfId="0" applyNumberFormat="1" applyFill="1" applyBorder="1"/>
    <xf numFmtId="1" fontId="12" fillId="17" borderId="39" xfId="0" applyNumberFormat="1" applyFont="1" applyFill="1" applyBorder="1"/>
    <xf numFmtId="1" fontId="12" fillId="17" borderId="20" xfId="0" applyNumberFormat="1" applyFont="1" applyFill="1" applyBorder="1"/>
    <xf numFmtId="2" fontId="42" fillId="17" borderId="0" xfId="0" applyNumberFormat="1" applyFont="1" applyFill="1" applyBorder="1"/>
    <xf numFmtId="1" fontId="62" fillId="17" borderId="0" xfId="0" applyNumberFormat="1" applyFont="1" applyFill="1" applyBorder="1"/>
    <xf numFmtId="2" fontId="12" fillId="17" borderId="0" xfId="0" applyNumberFormat="1" applyFont="1" applyFill="1" applyAlignment="1">
      <alignment horizontal="center"/>
    </xf>
    <xf numFmtId="1" fontId="38" fillId="17" borderId="0" xfId="0" applyNumberFormat="1" applyFont="1" applyFill="1"/>
    <xf numFmtId="2" fontId="38" fillId="17" borderId="0" xfId="0" applyNumberFormat="1" applyFont="1" applyFill="1"/>
    <xf numFmtId="49" fontId="9" fillId="17" borderId="0" xfId="0" applyNumberFormat="1" applyFont="1" applyFill="1"/>
    <xf numFmtId="0" fontId="9" fillId="17" borderId="0" xfId="0" applyFont="1" applyFill="1"/>
    <xf numFmtId="0" fontId="9" fillId="17" borderId="0" xfId="0" applyFont="1" applyFill="1" applyAlignment="1">
      <alignment horizontal="center"/>
    </xf>
    <xf numFmtId="0" fontId="63" fillId="17" borderId="19" xfId="0" applyFont="1" applyFill="1" applyBorder="1" applyAlignment="1">
      <alignment horizontal="center"/>
    </xf>
    <xf numFmtId="0" fontId="63" fillId="17" borderId="0" xfId="0" applyFont="1" applyFill="1"/>
    <xf numFmtId="0" fontId="63" fillId="17" borderId="0" xfId="0" applyFont="1" applyFill="1" applyBorder="1" applyAlignment="1">
      <alignment horizontal="center"/>
    </xf>
    <xf numFmtId="2" fontId="0" fillId="17" borderId="19" xfId="0" applyNumberFormat="1" applyFill="1" applyBorder="1"/>
    <xf numFmtId="1" fontId="0" fillId="17" borderId="0" xfId="0" applyNumberFormat="1" applyFont="1" applyFill="1" applyAlignment="1">
      <alignment horizontal="center"/>
    </xf>
    <xf numFmtId="1" fontId="16" fillId="9" borderId="1" xfId="0" applyNumberFormat="1" applyFont="1" applyFill="1" applyBorder="1"/>
    <xf numFmtId="1" fontId="16" fillId="9" borderId="1" xfId="0" applyNumberFormat="1" applyFont="1" applyFill="1" applyBorder="1" applyAlignment="1">
      <alignment horizontal="right"/>
    </xf>
    <xf numFmtId="1" fontId="0" fillId="9" borderId="1" xfId="0" applyNumberFormat="1" applyFont="1" applyFill="1" applyBorder="1"/>
    <xf numFmtId="1" fontId="0" fillId="9" borderId="1" xfId="0" applyNumberFormat="1" applyFont="1" applyFill="1" applyBorder="1" applyAlignment="1">
      <alignment horizontal="right"/>
    </xf>
    <xf numFmtId="1" fontId="9" fillId="9" borderId="1" xfId="0" applyNumberFormat="1" applyFont="1" applyFill="1" applyBorder="1"/>
    <xf numFmtId="1" fontId="9" fillId="9" borderId="1" xfId="0" applyNumberFormat="1" applyFont="1" applyFill="1" applyBorder="1" applyAlignment="1">
      <alignment horizontal="right"/>
    </xf>
    <xf numFmtId="1" fontId="16" fillId="9" borderId="3" xfId="0" applyNumberFormat="1" applyFont="1" applyFill="1" applyBorder="1"/>
    <xf numFmtId="1" fontId="16" fillId="9" borderId="3" xfId="0" applyNumberFormat="1" applyFont="1" applyFill="1" applyBorder="1" applyAlignment="1">
      <alignment horizontal="right"/>
    </xf>
    <xf numFmtId="1" fontId="61" fillId="9" borderId="1" xfId="0" applyNumberFormat="1" applyFont="1" applyFill="1" applyBorder="1" applyAlignment="1">
      <alignment horizontal="right"/>
    </xf>
    <xf numFmtId="1" fontId="16" fillId="9" borderId="1" xfId="0" applyNumberFormat="1" applyFont="1" applyFill="1" applyBorder="1" applyAlignment="1">
      <alignment horizontal="right" indent="1"/>
    </xf>
    <xf numFmtId="1" fontId="16" fillId="7" borderId="1" xfId="0" applyNumberFormat="1" applyFont="1" applyFill="1" applyBorder="1" applyAlignment="1">
      <alignment horizontal="right"/>
    </xf>
    <xf numFmtId="0" fontId="64" fillId="0" borderId="1" xfId="0" applyFont="1" applyBorder="1"/>
    <xf numFmtId="0" fontId="37" fillId="0" borderId="0" xfId="10"/>
    <xf numFmtId="0" fontId="15" fillId="5" borderId="1" xfId="12" applyFont="1" applyFill="1" applyBorder="1" applyAlignment="1">
      <alignment horizontal="center" vertical="top" wrapText="1"/>
    </xf>
    <xf numFmtId="0" fontId="10" fillId="0" borderId="1" xfId="10" applyFont="1" applyBorder="1" applyAlignment="1">
      <alignment wrapText="1"/>
    </xf>
    <xf numFmtId="0" fontId="10" fillId="0" borderId="1" xfId="10" applyFont="1" applyBorder="1"/>
    <xf numFmtId="1" fontId="10" fillId="0" borderId="1" xfId="10" applyNumberFormat="1" applyFont="1" applyBorder="1"/>
    <xf numFmtId="0" fontId="9" fillId="0" borderId="0" xfId="10" applyFont="1"/>
    <xf numFmtId="2" fontId="37" fillId="0" borderId="0" xfId="10" applyNumberFormat="1" applyAlignment="1">
      <alignment horizontal="left"/>
    </xf>
    <xf numFmtId="0" fontId="10" fillId="0" borderId="1" xfId="10" applyFont="1" applyBorder="1" applyAlignment="1">
      <alignment vertical="top" wrapText="1"/>
    </xf>
    <xf numFmtId="168" fontId="10" fillId="25" borderId="1" xfId="10" applyNumberFormat="1" applyFont="1" applyFill="1" applyBorder="1"/>
    <xf numFmtId="165" fontId="10" fillId="0" borderId="1" xfId="10" applyNumberFormat="1" applyFont="1" applyBorder="1"/>
    <xf numFmtId="1" fontId="10" fillId="2" borderId="1" xfId="10" applyNumberFormat="1" applyFont="1" applyFill="1" applyBorder="1"/>
    <xf numFmtId="0" fontId="24" fillId="2" borderId="1" xfId="0" applyFont="1" applyFill="1" applyBorder="1" applyAlignment="1">
      <alignment horizontal="center" vertical="top"/>
    </xf>
    <xf numFmtId="0" fontId="10" fillId="24" borderId="1" xfId="10" applyFont="1" applyFill="1" applyBorder="1"/>
    <xf numFmtId="0" fontId="65" fillId="23" borderId="1" xfId="10" applyFont="1" applyFill="1" applyBorder="1" applyAlignment="1">
      <alignment horizontal="center" vertical="top" wrapText="1"/>
    </xf>
    <xf numFmtId="0" fontId="25" fillId="0" borderId="1" xfId="10" applyFont="1" applyBorder="1" applyAlignment="1">
      <alignment horizontal="center" vertical="center"/>
    </xf>
    <xf numFmtId="0" fontId="10" fillId="0" borderId="1" xfId="10" applyFont="1" applyBorder="1" applyAlignment="1">
      <alignment vertical="center"/>
    </xf>
    <xf numFmtId="0" fontId="37" fillId="0" borderId="1" xfId="10" applyBorder="1"/>
    <xf numFmtId="0" fontId="13" fillId="0" borderId="6" xfId="0" applyFont="1" applyBorder="1" applyAlignment="1">
      <alignment horizontal="center" vertical="top" wrapText="1"/>
    </xf>
    <xf numFmtId="0" fontId="46" fillId="0" borderId="1" xfId="10" applyFont="1" applyBorder="1" applyAlignment="1">
      <alignment wrapText="1"/>
    </xf>
    <xf numFmtId="0" fontId="10" fillId="0" borderId="1" xfId="10" applyFont="1" applyBorder="1" applyAlignment="1">
      <alignment vertical="top"/>
    </xf>
    <xf numFmtId="0" fontId="10" fillId="24" borderId="1" xfId="10" applyFont="1" applyFill="1" applyBorder="1" applyAlignment="1">
      <alignment vertical="top"/>
    </xf>
    <xf numFmtId="165" fontId="10" fillId="0" borderId="1" xfId="10" applyNumberFormat="1" applyFont="1" applyBorder="1" applyAlignment="1">
      <alignment vertical="top"/>
    </xf>
    <xf numFmtId="168" fontId="10" fillId="25" borderId="1" xfId="10" applyNumberFormat="1" applyFont="1" applyFill="1" applyBorder="1" applyAlignment="1">
      <alignment vertical="top"/>
    </xf>
    <xf numFmtId="1" fontId="10" fillId="2" borderId="1" xfId="10" applyNumberFormat="1" applyFont="1" applyFill="1" applyBorder="1" applyAlignment="1">
      <alignment vertical="top"/>
    </xf>
    <xf numFmtId="0" fontId="25" fillId="0" borderId="1" xfId="10" applyFont="1" applyBorder="1" applyAlignment="1">
      <alignment horizontal="center" vertical="top"/>
    </xf>
    <xf numFmtId="0" fontId="46" fillId="0" borderId="1" xfId="10" applyFont="1" applyBorder="1" applyAlignment="1">
      <alignment vertical="top" wrapText="1"/>
    </xf>
    <xf numFmtId="0" fontId="10" fillId="0" borderId="1" xfId="10" applyFont="1" applyFill="1" applyBorder="1" applyAlignment="1">
      <alignment vertical="top"/>
    </xf>
    <xf numFmtId="0" fontId="37" fillId="0" borderId="1" xfId="10" applyBorder="1" applyAlignment="1">
      <alignment vertical="top"/>
    </xf>
    <xf numFmtId="0" fontId="10" fillId="24" borderId="3" xfId="10" applyFont="1" applyFill="1" applyBorder="1" applyAlignment="1">
      <alignment vertical="top"/>
    </xf>
    <xf numFmtId="165" fontId="10" fillId="0" borderId="3" xfId="10" applyNumberFormat="1" applyFont="1" applyBorder="1" applyAlignment="1">
      <alignment vertical="top"/>
    </xf>
    <xf numFmtId="1" fontId="10" fillId="2" borderId="3" xfId="10" applyNumberFormat="1" applyFont="1" applyFill="1" applyBorder="1" applyAlignment="1">
      <alignment vertical="top"/>
    </xf>
    <xf numFmtId="0" fontId="25" fillId="0" borderId="3" xfId="10" applyFont="1" applyBorder="1" applyAlignment="1">
      <alignment horizontal="center" vertical="top"/>
    </xf>
    <xf numFmtId="0" fontId="10" fillId="0" borderId="3" xfId="10" applyFont="1" applyBorder="1" applyAlignment="1">
      <alignment vertical="top"/>
    </xf>
    <xf numFmtId="0" fontId="10" fillId="0" borderId="3" xfId="10" applyFont="1" applyBorder="1" applyAlignment="1">
      <alignment vertical="top" wrapText="1"/>
    </xf>
    <xf numFmtId="0" fontId="25" fillId="0" borderId="1" xfId="10" applyFont="1" applyBorder="1" applyAlignment="1">
      <alignment vertical="top"/>
    </xf>
    <xf numFmtId="0" fontId="7" fillId="0" borderId="0" xfId="26"/>
    <xf numFmtId="0" fontId="71" fillId="2" borderId="1" xfId="26" applyFont="1" applyFill="1" applyBorder="1"/>
    <xf numFmtId="0" fontId="7" fillId="0" borderId="1" xfId="26" applyBorder="1"/>
    <xf numFmtId="0" fontId="71" fillId="2" borderId="1" xfId="26" applyFont="1" applyFill="1" applyBorder="1" applyAlignment="1">
      <alignment horizontal="center"/>
    </xf>
    <xf numFmtId="0" fontId="72" fillId="0" borderId="0" xfId="26" applyFont="1"/>
    <xf numFmtId="0" fontId="71" fillId="2" borderId="1" xfId="26" applyFont="1" applyFill="1" applyBorder="1" applyAlignment="1">
      <alignment horizontal="center" vertical="top"/>
    </xf>
    <xf numFmtId="0" fontId="71" fillId="2" borderId="1" xfId="26" applyFont="1" applyFill="1" applyBorder="1" applyAlignment="1">
      <alignment horizontal="center" vertical="top" wrapText="1"/>
    </xf>
    <xf numFmtId="0" fontId="71" fillId="4" borderId="1" xfId="26" applyFont="1" applyFill="1" applyBorder="1"/>
    <xf numFmtId="0" fontId="65" fillId="23" borderId="1" xfId="10" applyFont="1" applyFill="1" applyBorder="1" applyAlignment="1">
      <alignment horizontal="center" vertical="top" wrapText="1"/>
    </xf>
    <xf numFmtId="0" fontId="46" fillId="2" borderId="1" xfId="1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0" borderId="43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64" fillId="0" borderId="20" xfId="0" applyFont="1" applyBorder="1" applyAlignment="1">
      <alignment horizontal="center" vertical="top" wrapText="1"/>
    </xf>
    <xf numFmtId="0" fontId="64" fillId="0" borderId="40" xfId="0" applyFont="1" applyBorder="1" applyAlignment="1">
      <alignment horizontal="center" wrapText="1"/>
    </xf>
    <xf numFmtId="0" fontId="64" fillId="0" borderId="46" xfId="0" applyFont="1" applyBorder="1" applyAlignment="1">
      <alignment horizontal="center" vertical="top" wrapText="1"/>
    </xf>
    <xf numFmtId="0" fontId="64" fillId="0" borderId="48" xfId="0" applyFont="1" applyBorder="1" applyAlignment="1">
      <alignment horizontal="center" wrapText="1"/>
    </xf>
    <xf numFmtId="0" fontId="25" fillId="0" borderId="48" xfId="0" applyFont="1" applyBorder="1" applyAlignment="1">
      <alignment horizontal="center" wrapText="1"/>
    </xf>
    <xf numFmtId="0" fontId="64" fillId="0" borderId="44" xfId="0" applyFont="1" applyBorder="1" applyAlignment="1">
      <alignment horizontal="center" wrapText="1"/>
    </xf>
    <xf numFmtId="0" fontId="64" fillId="0" borderId="43" xfId="0" applyFont="1" applyBorder="1" applyAlignment="1">
      <alignment horizontal="center" wrapText="1"/>
    </xf>
    <xf numFmtId="0" fontId="80" fillId="0" borderId="68" xfId="0" applyFont="1" applyBorder="1" applyAlignment="1">
      <alignment horizontal="center" vertical="top" wrapText="1"/>
    </xf>
    <xf numFmtId="0" fontId="81" fillId="0" borderId="0" xfId="0" applyFont="1"/>
    <xf numFmtId="0" fontId="81" fillId="0" borderId="0" xfId="0" applyFont="1" applyAlignment="1">
      <alignment shrinkToFit="1"/>
    </xf>
    <xf numFmtId="0" fontId="81" fillId="0" borderId="0" xfId="0" applyFont="1" applyAlignment="1">
      <alignment horizontal="center" vertical="center"/>
    </xf>
    <xf numFmtId="0" fontId="82" fillId="0" borderId="0" xfId="0" applyFont="1"/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shrinkToFit="1"/>
    </xf>
    <xf numFmtId="0" fontId="84" fillId="0" borderId="0" xfId="0" applyFont="1"/>
    <xf numFmtId="2" fontId="84" fillId="0" borderId="39" xfId="0" applyNumberFormat="1" applyFont="1" applyBorder="1" applyAlignment="1">
      <alignment horizontal="center" vertical="center" wrapText="1"/>
    </xf>
    <xf numFmtId="2" fontId="84" fillId="0" borderId="42" xfId="0" applyNumberFormat="1" applyFont="1" applyBorder="1" applyAlignment="1">
      <alignment horizontal="center" vertical="center" wrapText="1" shrinkToFit="1"/>
    </xf>
    <xf numFmtId="2" fontId="84" fillId="0" borderId="41" xfId="0" applyNumberFormat="1" applyFont="1" applyBorder="1" applyAlignment="1">
      <alignment horizontal="center" vertical="center" wrapText="1"/>
    </xf>
    <xf numFmtId="2" fontId="84" fillId="0" borderId="20" xfId="0" applyNumberFormat="1" applyFont="1" applyBorder="1" applyAlignment="1">
      <alignment horizontal="center" vertical="center" wrapText="1"/>
    </xf>
    <xf numFmtId="2" fontId="84" fillId="0" borderId="40" xfId="0" applyNumberFormat="1" applyFont="1" applyBorder="1" applyAlignment="1">
      <alignment horizontal="center" vertical="center" wrapText="1"/>
    </xf>
    <xf numFmtId="0" fontId="84" fillId="0" borderId="81" xfId="0" applyFont="1" applyBorder="1" applyAlignment="1">
      <alignment horizontal="center" vertical="top"/>
    </xf>
    <xf numFmtId="0" fontId="84" fillId="0" borderId="75" xfId="0" applyFont="1" applyBorder="1" applyAlignment="1">
      <alignment vertical="center" wrapText="1" shrinkToFit="1"/>
    </xf>
    <xf numFmtId="0" fontId="84" fillId="0" borderId="5" xfId="0" applyFont="1" applyBorder="1" applyAlignment="1">
      <alignment horizontal="center" vertical="center"/>
    </xf>
    <xf numFmtId="0" fontId="84" fillId="0" borderId="75" xfId="0" applyFont="1" applyBorder="1" applyAlignment="1">
      <alignment horizontal="center" vertical="center"/>
    </xf>
    <xf numFmtId="0" fontId="84" fillId="0" borderId="36" xfId="0" applyFont="1" applyBorder="1" applyAlignment="1">
      <alignment horizontal="center" vertical="center"/>
    </xf>
    <xf numFmtId="0" fontId="84" fillId="0" borderId="73" xfId="0" applyFont="1" applyBorder="1" applyAlignment="1">
      <alignment horizontal="center" vertical="top"/>
    </xf>
    <xf numFmtId="0" fontId="84" fillId="0" borderId="72" xfId="0" applyFont="1" applyBorder="1" applyAlignment="1">
      <alignment vertical="center" wrapText="1" shrinkToFit="1"/>
    </xf>
    <xf numFmtId="0" fontId="84" fillId="0" borderId="72" xfId="0" applyFont="1" applyBorder="1" applyAlignment="1">
      <alignment horizontal="center" vertical="center"/>
    </xf>
    <xf numFmtId="0" fontId="84" fillId="0" borderId="30" xfId="0" applyFont="1" applyBorder="1" applyAlignment="1">
      <alignment horizontal="center" vertical="center"/>
    </xf>
    <xf numFmtId="0" fontId="84" fillId="0" borderId="65" xfId="0" applyFont="1" applyBorder="1" applyAlignment="1">
      <alignment horizontal="center" vertical="top"/>
    </xf>
    <xf numFmtId="0" fontId="84" fillId="0" borderId="79" xfId="0" applyFont="1" applyBorder="1" applyAlignment="1">
      <alignment vertical="center" wrapText="1" shrinkToFit="1"/>
    </xf>
    <xf numFmtId="0" fontId="84" fillId="0" borderId="63" xfId="0" applyFont="1" applyBorder="1" applyAlignment="1">
      <alignment horizontal="center" vertical="center"/>
    </xf>
    <xf numFmtId="0" fontId="84" fillId="0" borderId="79" xfId="0" applyFont="1" applyBorder="1" applyAlignment="1">
      <alignment horizontal="center" vertical="center"/>
    </xf>
    <xf numFmtId="0" fontId="84" fillId="0" borderId="78" xfId="0" applyFont="1" applyBorder="1" applyAlignment="1">
      <alignment horizontal="center" vertical="center"/>
    </xf>
    <xf numFmtId="0" fontId="84" fillId="0" borderId="76" xfId="0" applyFont="1" applyBorder="1" applyAlignment="1">
      <alignment horizontal="center" vertical="top"/>
    </xf>
    <xf numFmtId="0" fontId="84" fillId="0" borderId="66" xfId="0" applyFont="1" applyBorder="1" applyAlignment="1">
      <alignment horizontal="center" vertical="center"/>
    </xf>
    <xf numFmtId="0" fontId="84" fillId="0" borderId="74" xfId="0" applyFont="1" applyBorder="1" applyAlignment="1">
      <alignment horizontal="center" vertical="center"/>
    </xf>
    <xf numFmtId="0" fontId="84" fillId="0" borderId="71" xfId="0" applyFont="1" applyBorder="1" applyAlignment="1">
      <alignment horizontal="center" vertical="top"/>
    </xf>
    <xf numFmtId="0" fontId="84" fillId="0" borderId="70" xfId="0" applyFont="1" applyBorder="1" applyAlignment="1">
      <alignment vertical="center" wrapText="1" shrinkToFit="1"/>
    </xf>
    <xf numFmtId="0" fontId="84" fillId="0" borderId="77" xfId="0" applyFont="1" applyBorder="1" applyAlignment="1">
      <alignment horizontal="center" vertical="center"/>
    </xf>
    <xf numFmtId="0" fontId="84" fillId="0" borderId="70" xfId="0" applyFont="1" applyBorder="1" applyAlignment="1">
      <alignment horizontal="center" vertical="center"/>
    </xf>
    <xf numFmtId="0" fontId="84" fillId="0" borderId="69" xfId="0" applyFont="1" applyBorder="1" applyAlignment="1">
      <alignment horizontal="center" vertical="center"/>
    </xf>
    <xf numFmtId="2" fontId="84" fillId="0" borderId="20" xfId="0" applyNumberFormat="1" applyFont="1" applyBorder="1" applyAlignment="1">
      <alignment horizontal="center" vertical="center" wrapText="1" shrinkToFit="1"/>
    </xf>
    <xf numFmtId="0" fontId="84" fillId="0" borderId="75" xfId="0" applyFont="1" applyBorder="1" applyAlignment="1">
      <alignment horizontal="center" vertical="top"/>
    </xf>
    <xf numFmtId="0" fontId="84" fillId="0" borderId="72" xfId="0" applyFont="1" applyBorder="1" applyAlignment="1">
      <alignment vertical="top" wrapText="1" shrinkToFit="1"/>
    </xf>
    <xf numFmtId="0" fontId="84" fillId="0" borderId="19" xfId="0" applyFont="1" applyBorder="1" applyAlignment="1">
      <alignment horizontal="center" vertical="center"/>
    </xf>
    <xf numFmtId="0" fontId="84" fillId="0" borderId="80" xfId="0" applyFont="1" applyBorder="1" applyAlignment="1">
      <alignment horizontal="center" vertical="center"/>
    </xf>
    <xf numFmtId="0" fontId="84" fillId="0" borderId="72" xfId="0" applyFont="1" applyBorder="1" applyAlignment="1">
      <alignment horizontal="center" vertical="top"/>
    </xf>
    <xf numFmtId="0" fontId="84" fillId="0" borderId="46" xfId="0" applyFont="1" applyBorder="1" applyAlignment="1">
      <alignment horizontal="center" vertical="top"/>
    </xf>
    <xf numFmtId="0" fontId="84" fillId="0" borderId="75" xfId="0" applyFont="1" applyBorder="1" applyAlignment="1">
      <alignment vertical="center" shrinkToFit="1"/>
    </xf>
    <xf numFmtId="0" fontId="84" fillId="0" borderId="70" xfId="0" applyFont="1" applyBorder="1" applyAlignment="1">
      <alignment horizontal="center" vertical="top"/>
    </xf>
    <xf numFmtId="0" fontId="84" fillId="0" borderId="70" xfId="0" applyFont="1" applyBorder="1" applyAlignment="1">
      <alignment vertical="center" shrinkToFit="1"/>
    </xf>
    <xf numFmtId="2" fontId="84" fillId="0" borderId="75" xfId="0" applyNumberFormat="1" applyFont="1" applyBorder="1" applyAlignment="1">
      <alignment horizontal="center" vertical="center" wrapText="1"/>
    </xf>
    <xf numFmtId="0" fontId="84" fillId="0" borderId="75" xfId="0" applyFont="1" applyBorder="1" applyAlignment="1">
      <alignment vertical="top" wrapText="1" shrinkToFit="1"/>
    </xf>
    <xf numFmtId="0" fontId="84" fillId="0" borderId="79" xfId="0" applyFont="1" applyBorder="1" applyAlignment="1">
      <alignment horizontal="center" vertical="top"/>
    </xf>
    <xf numFmtId="0" fontId="84" fillId="0" borderId="46" xfId="0" applyFont="1" applyBorder="1" applyAlignment="1">
      <alignment vertical="top" wrapText="1" shrinkToFit="1"/>
    </xf>
    <xf numFmtId="0" fontId="84" fillId="0" borderId="0" xfId="0" applyFont="1" applyBorder="1" applyAlignment="1">
      <alignment horizontal="center" vertical="center"/>
    </xf>
    <xf numFmtId="0" fontId="84" fillId="0" borderId="75" xfId="0" applyFont="1" applyBorder="1" applyAlignment="1">
      <alignment vertical="top" shrinkToFit="1"/>
    </xf>
    <xf numFmtId="0" fontId="84" fillId="0" borderId="70" xfId="0" applyFont="1" applyBorder="1" applyAlignment="1">
      <alignment vertical="top" shrinkToFit="1"/>
    </xf>
    <xf numFmtId="0" fontId="84" fillId="0" borderId="72" xfId="0" applyFont="1" applyBorder="1"/>
    <xf numFmtId="0" fontId="84" fillId="0" borderId="79" xfId="0" applyFont="1" applyBorder="1" applyAlignment="1">
      <alignment vertical="top" wrapText="1" shrinkToFit="1"/>
    </xf>
    <xf numFmtId="2" fontId="84" fillId="0" borderId="75" xfId="0" applyNumberFormat="1" applyFont="1" applyBorder="1" applyAlignment="1">
      <alignment horizontal="center" vertical="center" wrapText="1" shrinkToFit="1"/>
    </xf>
    <xf numFmtId="0" fontId="84" fillId="0" borderId="81" xfId="0" applyFont="1" applyBorder="1" applyAlignment="1">
      <alignment horizontal="center" vertical="center"/>
    </xf>
    <xf numFmtId="0" fontId="84" fillId="0" borderId="73" xfId="0" applyFont="1" applyBorder="1" applyAlignment="1">
      <alignment horizontal="center" vertical="center"/>
    </xf>
    <xf numFmtId="0" fontId="84" fillId="0" borderId="65" xfId="0" applyFont="1" applyBorder="1" applyAlignment="1">
      <alignment horizontal="center" vertical="center"/>
    </xf>
    <xf numFmtId="2" fontId="84" fillId="0" borderId="41" xfId="0" applyNumberFormat="1" applyFont="1" applyBorder="1" applyAlignment="1">
      <alignment horizontal="center" vertical="center" wrapText="1" shrinkToFit="1"/>
    </xf>
    <xf numFmtId="0" fontId="84" fillId="0" borderId="80" xfId="0" applyFont="1" applyBorder="1" applyAlignment="1">
      <alignment horizontal="center" vertical="top"/>
    </xf>
    <xf numFmtId="0" fontId="84" fillId="0" borderId="5" xfId="0" applyFont="1" applyBorder="1" applyAlignment="1">
      <alignment vertical="top" shrinkToFit="1"/>
    </xf>
    <xf numFmtId="0" fontId="84" fillId="0" borderId="5" xfId="0" applyFont="1" applyBorder="1" applyAlignment="1">
      <alignment vertical="top" wrapText="1" shrinkToFit="1"/>
    </xf>
    <xf numFmtId="0" fontId="84" fillId="0" borderId="66" xfId="0" applyFont="1" applyBorder="1" applyAlignment="1">
      <alignment vertical="top" shrinkToFit="1"/>
    </xf>
    <xf numFmtId="0" fontId="84" fillId="0" borderId="77" xfId="0" applyFont="1" applyBorder="1" applyAlignment="1">
      <alignment vertical="top" shrinkToFit="1"/>
    </xf>
    <xf numFmtId="0" fontId="84" fillId="0" borderId="19" xfId="0" applyFont="1" applyBorder="1" applyAlignment="1">
      <alignment vertical="top" wrapText="1" shrinkToFit="1"/>
    </xf>
    <xf numFmtId="0" fontId="84" fillId="0" borderId="66" xfId="0" applyFont="1" applyBorder="1" applyAlignment="1">
      <alignment vertical="top" wrapText="1" shrinkToFit="1"/>
    </xf>
    <xf numFmtId="0" fontId="84" fillId="0" borderId="77" xfId="0" applyFont="1" applyBorder="1" applyAlignment="1">
      <alignment vertical="top" wrapText="1" shrinkToFit="1"/>
    </xf>
    <xf numFmtId="0" fontId="84" fillId="0" borderId="76" xfId="0" applyFont="1" applyBorder="1" applyAlignment="1">
      <alignment horizontal="center" vertical="center"/>
    </xf>
    <xf numFmtId="0" fontId="84" fillId="0" borderId="70" xfId="0" applyFont="1" applyBorder="1" applyAlignment="1">
      <alignment vertical="top" wrapText="1" shrinkToFit="1"/>
    </xf>
    <xf numFmtId="0" fontId="84" fillId="0" borderId="80" xfId="0" applyFont="1" applyBorder="1" applyAlignment="1">
      <alignment vertical="top" wrapText="1" shrinkToFit="1"/>
    </xf>
    <xf numFmtId="0" fontId="84" fillId="0" borderId="19" xfId="0" applyFont="1" applyBorder="1" applyAlignment="1">
      <alignment vertical="center" wrapText="1" shrinkToFit="1"/>
    </xf>
    <xf numFmtId="0" fontId="84" fillId="0" borderId="80" xfId="0" applyFont="1" applyBorder="1" applyAlignment="1">
      <alignment vertical="center" wrapText="1" shrinkToFit="1"/>
    </xf>
    <xf numFmtId="0" fontId="84" fillId="0" borderId="46" xfId="0" applyFont="1" applyBorder="1" applyAlignment="1">
      <alignment vertical="center" wrapText="1" shrinkToFit="1"/>
    </xf>
    <xf numFmtId="0" fontId="84" fillId="0" borderId="75" xfId="0" applyFont="1" applyBorder="1" applyAlignment="1">
      <alignment horizontal="left" vertical="center" wrapText="1" shrinkToFit="1"/>
    </xf>
    <xf numFmtId="0" fontId="84" fillId="0" borderId="70" xfId="0" applyFont="1" applyBorder="1" applyAlignment="1">
      <alignment horizontal="left" vertical="center" wrapText="1" shrinkToFit="1"/>
    </xf>
    <xf numFmtId="2" fontId="84" fillId="0" borderId="42" xfId="0" applyNumberFormat="1" applyFont="1" applyBorder="1" applyAlignment="1">
      <alignment horizontal="center" vertical="center" wrapText="1"/>
    </xf>
    <xf numFmtId="2" fontId="84" fillId="0" borderId="0" xfId="0" applyNumberFormat="1" applyFont="1" applyBorder="1" applyAlignment="1">
      <alignment horizontal="center" vertical="center" wrapText="1"/>
    </xf>
    <xf numFmtId="0" fontId="84" fillId="0" borderId="75" xfId="0" applyFont="1" applyBorder="1"/>
    <xf numFmtId="0" fontId="84" fillId="0" borderId="79" xfId="0" applyFont="1" applyBorder="1"/>
    <xf numFmtId="0" fontId="84" fillId="0" borderId="70" xfId="0" applyFont="1" applyBorder="1"/>
    <xf numFmtId="0" fontId="84" fillId="0" borderId="73" xfId="0" applyFont="1" applyBorder="1" applyAlignment="1">
      <alignment vertical="center" wrapText="1" shrinkToFit="1"/>
    </xf>
    <xf numFmtId="0" fontId="84" fillId="0" borderId="65" xfId="0" applyFont="1" applyBorder="1" applyAlignment="1">
      <alignment vertical="center" wrapText="1" shrinkToFit="1"/>
    </xf>
    <xf numFmtId="0" fontId="84" fillId="0" borderId="79" xfId="0" applyFont="1" applyBorder="1" applyAlignment="1">
      <alignment horizontal="center" vertical="center" wrapText="1"/>
    </xf>
    <xf numFmtId="0" fontId="84" fillId="0" borderId="77" xfId="0" applyFont="1" applyBorder="1" applyAlignment="1">
      <alignment horizontal="center" vertical="center" wrapText="1"/>
    </xf>
    <xf numFmtId="2" fontId="85" fillId="0" borderId="39" xfId="0" applyNumberFormat="1" applyFont="1" applyBorder="1" applyAlignment="1">
      <alignment horizontal="center" vertical="center" wrapText="1"/>
    </xf>
    <xf numFmtId="2" fontId="85" fillId="0" borderId="20" xfId="0" applyNumberFormat="1" applyFont="1" applyBorder="1" applyAlignment="1">
      <alignment horizontal="center" vertical="center" wrapText="1" shrinkToFit="1"/>
    </xf>
    <xf numFmtId="2" fontId="85" fillId="0" borderId="20" xfId="0" applyNumberFormat="1" applyFont="1" applyBorder="1" applyAlignment="1">
      <alignment horizontal="center" vertical="center" wrapText="1"/>
    </xf>
    <xf numFmtId="0" fontId="84" fillId="0" borderId="39" xfId="0" applyNumberFormat="1" applyFont="1" applyBorder="1" applyAlignment="1">
      <alignment horizontal="center" vertical="top" wrapText="1"/>
    </xf>
    <xf numFmtId="2" fontId="84" fillId="0" borderId="20" xfId="0" applyNumberFormat="1" applyFont="1" applyBorder="1" applyAlignment="1">
      <alignment horizontal="left" vertical="center" wrapText="1"/>
    </xf>
    <xf numFmtId="2" fontId="84" fillId="0" borderId="39" xfId="0" applyNumberFormat="1" applyFont="1" applyBorder="1" applyAlignment="1">
      <alignment horizontal="center" vertical="top" wrapText="1"/>
    </xf>
    <xf numFmtId="2" fontId="84" fillId="0" borderId="20" xfId="0" applyNumberFormat="1" applyFont="1" applyBorder="1" applyAlignment="1">
      <alignment horizontal="left" vertical="center" wrapText="1" shrinkToFit="1"/>
    </xf>
    <xf numFmtId="2" fontId="85" fillId="0" borderId="20" xfId="0" applyNumberFormat="1" applyFont="1" applyBorder="1" applyAlignment="1">
      <alignment horizontal="left" vertical="center" wrapText="1" shrinkToFit="1"/>
    </xf>
    <xf numFmtId="2" fontId="84" fillId="0" borderId="37" xfId="0" applyNumberFormat="1" applyFont="1" applyBorder="1" applyAlignment="1">
      <alignment horizontal="center" vertical="center" wrapText="1"/>
    </xf>
    <xf numFmtId="2" fontId="84" fillId="0" borderId="54" xfId="0" applyNumberFormat="1" applyFont="1" applyBorder="1" applyAlignment="1">
      <alignment horizontal="center" vertical="center" wrapText="1"/>
    </xf>
    <xf numFmtId="0" fontId="84" fillId="0" borderId="30" xfId="0" applyFont="1" applyBorder="1"/>
    <xf numFmtId="0" fontId="85" fillId="0" borderId="0" xfId="0" applyFont="1" applyAlignment="1"/>
    <xf numFmtId="0" fontId="85" fillId="0" borderId="0" xfId="0" applyFont="1" applyAlignment="1">
      <alignment horizontal="center"/>
    </xf>
    <xf numFmtId="2" fontId="84" fillId="0" borderId="72" xfId="0" applyNumberFormat="1" applyFont="1" applyBorder="1" applyAlignment="1">
      <alignment horizontal="center" vertical="center"/>
    </xf>
    <xf numFmtId="168" fontId="84" fillId="0" borderId="72" xfId="0" applyNumberFormat="1" applyFont="1" applyBorder="1" applyAlignment="1">
      <alignment horizontal="center" vertical="center"/>
    </xf>
    <xf numFmtId="2" fontId="84" fillId="0" borderId="30" xfId="0" applyNumberFormat="1" applyFont="1" applyBorder="1" applyAlignment="1">
      <alignment horizontal="center" vertical="center"/>
    </xf>
    <xf numFmtId="2" fontId="84" fillId="0" borderId="74" xfId="0" applyNumberFormat="1" applyFont="1" applyBorder="1" applyAlignment="1">
      <alignment horizontal="center" vertical="center"/>
    </xf>
    <xf numFmtId="10" fontId="84" fillId="0" borderId="72" xfId="1" applyNumberFormat="1" applyFont="1" applyBorder="1" applyAlignment="1">
      <alignment horizontal="center" vertical="center"/>
    </xf>
    <xf numFmtId="10" fontId="84" fillId="0" borderId="72" xfId="0" applyNumberFormat="1" applyFont="1" applyBorder="1" applyAlignment="1">
      <alignment horizontal="center" vertical="center"/>
    </xf>
    <xf numFmtId="166" fontId="84" fillId="0" borderId="69" xfId="0" applyNumberFormat="1" applyFont="1" applyBorder="1" applyAlignment="1">
      <alignment horizontal="center" vertical="center"/>
    </xf>
    <xf numFmtId="2" fontId="84" fillId="0" borderId="75" xfId="0" applyNumberFormat="1" applyFont="1" applyBorder="1" applyAlignment="1">
      <alignment horizontal="center" vertical="center"/>
    </xf>
    <xf numFmtId="2" fontId="84" fillId="0" borderId="80" xfId="0" applyNumberFormat="1" applyFont="1" applyBorder="1" applyAlignment="1">
      <alignment horizontal="center" vertical="center"/>
    </xf>
    <xf numFmtId="2" fontId="84" fillId="11" borderId="80" xfId="0" applyNumberFormat="1" applyFont="1" applyFill="1" applyBorder="1" applyAlignment="1">
      <alignment horizontal="center" vertical="center"/>
    </xf>
    <xf numFmtId="0" fontId="84" fillId="11" borderId="36" xfId="0" applyFont="1" applyFill="1" applyBorder="1" applyAlignment="1">
      <alignment horizontal="center" vertical="center"/>
    </xf>
    <xf numFmtId="0" fontId="84" fillId="11" borderId="72" xfId="0" applyFont="1" applyFill="1" applyBorder="1"/>
    <xf numFmtId="0" fontId="84" fillId="11" borderId="30" xfId="0" applyFont="1" applyFill="1" applyBorder="1" applyAlignment="1">
      <alignment horizontal="center" vertical="center"/>
    </xf>
    <xf numFmtId="0" fontId="84" fillId="11" borderId="72" xfId="0" applyFont="1" applyFill="1" applyBorder="1" applyAlignment="1">
      <alignment horizontal="center" vertical="center"/>
    </xf>
    <xf numFmtId="0" fontId="84" fillId="11" borderId="79" xfId="0" applyFont="1" applyFill="1" applyBorder="1" applyAlignment="1">
      <alignment horizontal="center" vertical="center"/>
    </xf>
    <xf numFmtId="0" fontId="84" fillId="11" borderId="78" xfId="0" applyFont="1" applyFill="1" applyBorder="1" applyAlignment="1">
      <alignment horizontal="center" vertical="center"/>
    </xf>
    <xf numFmtId="0" fontId="84" fillId="11" borderId="75" xfId="0" applyFont="1" applyFill="1" applyBorder="1" applyAlignment="1">
      <alignment horizontal="center" vertical="center"/>
    </xf>
    <xf numFmtId="0" fontId="84" fillId="11" borderId="74" xfId="0" applyFont="1" applyFill="1" applyBorder="1" applyAlignment="1">
      <alignment horizontal="center" vertical="center"/>
    </xf>
    <xf numFmtId="0" fontId="84" fillId="11" borderId="70" xfId="0" applyFont="1" applyFill="1" applyBorder="1" applyAlignment="1">
      <alignment horizontal="center" vertical="center"/>
    </xf>
    <xf numFmtId="0" fontId="84" fillId="11" borderId="69" xfId="0" applyFont="1" applyFill="1" applyBorder="1" applyAlignment="1">
      <alignment horizontal="center" vertical="center"/>
    </xf>
    <xf numFmtId="0" fontId="84" fillId="11" borderId="80" xfId="0" applyFont="1" applyFill="1" applyBorder="1" applyAlignment="1">
      <alignment horizontal="center" vertical="center"/>
    </xf>
    <xf numFmtId="2" fontId="84" fillId="0" borderId="79" xfId="0" applyNumberFormat="1" applyFont="1" applyBorder="1" applyAlignment="1">
      <alignment horizontal="center" vertical="center"/>
    </xf>
    <xf numFmtId="0" fontId="87" fillId="2" borderId="0" xfId="0" applyFont="1" applyFill="1" applyAlignment="1">
      <alignment horizontal="center" vertical="center"/>
    </xf>
    <xf numFmtId="0" fontId="84" fillId="0" borderId="75" xfId="0" applyFont="1" applyFill="1" applyBorder="1" applyAlignment="1">
      <alignment horizontal="center" vertical="center"/>
    </xf>
    <xf numFmtId="0" fontId="84" fillId="0" borderId="36" xfId="0" applyFont="1" applyFill="1" applyBorder="1" applyAlignment="1">
      <alignment horizontal="center" vertical="center"/>
    </xf>
    <xf numFmtId="0" fontId="84" fillId="0" borderId="72" xfId="0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center" vertical="center"/>
    </xf>
    <xf numFmtId="2" fontId="84" fillId="0" borderId="72" xfId="0" applyNumberFormat="1" applyFont="1" applyFill="1" applyBorder="1" applyAlignment="1">
      <alignment horizontal="center" vertical="center"/>
    </xf>
    <xf numFmtId="2" fontId="84" fillId="0" borderId="30" xfId="0" applyNumberFormat="1" applyFont="1" applyFill="1" applyBorder="1" applyAlignment="1">
      <alignment horizontal="center" vertical="center"/>
    </xf>
    <xf numFmtId="0" fontId="84" fillId="0" borderId="6" xfId="0" applyFont="1" applyFill="1" applyBorder="1" applyAlignment="1">
      <alignment horizontal="center" vertical="center"/>
    </xf>
    <xf numFmtId="0" fontId="84" fillId="0" borderId="46" xfId="0" applyFont="1" applyFill="1" applyBorder="1" applyAlignment="1">
      <alignment horizontal="center" vertical="center"/>
    </xf>
    <xf numFmtId="0" fontId="84" fillId="0" borderId="44" xfId="0" applyFont="1" applyFill="1" applyBorder="1" applyAlignment="1">
      <alignment horizontal="center" vertical="center"/>
    </xf>
    <xf numFmtId="2" fontId="84" fillId="0" borderId="74" xfId="0" applyNumberFormat="1" applyFont="1" applyFill="1" applyBorder="1" applyAlignment="1">
      <alignment horizontal="center" vertical="center"/>
    </xf>
    <xf numFmtId="0" fontId="84" fillId="0" borderId="70" xfId="0" applyFont="1" applyFill="1" applyBorder="1" applyAlignment="1">
      <alignment horizontal="center" vertical="center"/>
    </xf>
    <xf numFmtId="166" fontId="84" fillId="0" borderId="69" xfId="0" applyNumberFormat="1" applyFont="1" applyFill="1" applyBorder="1" applyAlignment="1">
      <alignment horizontal="center" vertical="center"/>
    </xf>
    <xf numFmtId="166" fontId="84" fillId="0" borderId="74" xfId="0" applyNumberFormat="1" applyFont="1" applyBorder="1"/>
    <xf numFmtId="166" fontId="84" fillId="0" borderId="30" xfId="0" applyNumberFormat="1" applyFont="1" applyBorder="1"/>
    <xf numFmtId="166" fontId="84" fillId="0" borderId="0" xfId="0" applyNumberFormat="1" applyFont="1"/>
    <xf numFmtId="2" fontId="84" fillId="0" borderId="78" xfId="0" applyNumberFormat="1" applyFont="1" applyBorder="1" applyAlignment="1">
      <alignment horizontal="center" vertical="center"/>
    </xf>
    <xf numFmtId="0" fontId="6" fillId="0" borderId="0" xfId="73"/>
    <xf numFmtId="2" fontId="6" fillId="0" borderId="0" xfId="73" applyNumberFormat="1"/>
    <xf numFmtId="0" fontId="5" fillId="0" borderId="0" xfId="73" applyFont="1"/>
    <xf numFmtId="0" fontId="84" fillId="0" borderId="0" xfId="0" applyFont="1" applyBorder="1" applyAlignment="1">
      <alignment vertical="top" wrapText="1" shrinkToFit="1"/>
    </xf>
    <xf numFmtId="2" fontId="84" fillId="0" borderId="0" xfId="0" applyNumberFormat="1" applyFont="1"/>
    <xf numFmtId="0" fontId="88" fillId="23" borderId="1" xfId="10" applyFont="1" applyFill="1" applyBorder="1" applyAlignment="1">
      <alignment horizontal="center" vertical="top" wrapText="1"/>
    </xf>
    <xf numFmtId="0" fontId="19" fillId="24" borderId="1" xfId="12" applyFont="1" applyFill="1" applyBorder="1" applyAlignment="1">
      <alignment horizontal="center" vertical="top"/>
    </xf>
    <xf numFmtId="1" fontId="10" fillId="0" borderId="1" xfId="10" applyNumberFormat="1" applyFont="1" applyBorder="1" applyAlignment="1">
      <alignment vertical="top"/>
    </xf>
    <xf numFmtId="0" fontId="10" fillId="4" borderId="1" xfId="10" applyFont="1" applyFill="1" applyBorder="1" applyAlignment="1">
      <alignment vertical="top"/>
    </xf>
    <xf numFmtId="1" fontId="10" fillId="4" borderId="1" xfId="10" applyNumberFormat="1" applyFont="1" applyFill="1" applyBorder="1" applyAlignment="1">
      <alignment vertical="top"/>
    </xf>
    <xf numFmtId="166" fontId="37" fillId="0" borderId="0" xfId="10" applyNumberFormat="1"/>
    <xf numFmtId="0" fontId="64" fillId="0" borderId="39" xfId="0" applyFont="1" applyBorder="1" applyAlignment="1">
      <alignment vertical="top"/>
    </xf>
    <xf numFmtId="0" fontId="64" fillId="0" borderId="67" xfId="0" applyFont="1" applyBorder="1" applyAlignment="1">
      <alignment vertical="top"/>
    </xf>
    <xf numFmtId="0" fontId="84" fillId="0" borderId="0" xfId="0" applyFont="1" applyBorder="1" applyAlignment="1">
      <alignment horizontal="center" vertical="top"/>
    </xf>
    <xf numFmtId="0" fontId="0" fillId="2" borderId="1" xfId="0" applyFill="1" applyBorder="1"/>
    <xf numFmtId="0" fontId="0" fillId="0" borderId="4" xfId="0" applyBorder="1" applyAlignment="1">
      <alignment vertical="top"/>
    </xf>
    <xf numFmtId="0" fontId="0" fillId="2" borderId="4" xfId="0" applyFill="1" applyBorder="1" applyAlignment="1">
      <alignment vertical="top"/>
    </xf>
    <xf numFmtId="49" fontId="76" fillId="17" borderId="1" xfId="27" applyNumberFormat="1" applyFont="1" applyFill="1" applyBorder="1" applyAlignment="1"/>
    <xf numFmtId="0" fontId="75" fillId="17" borderId="0" xfId="0" applyFont="1" applyFill="1"/>
    <xf numFmtId="0" fontId="17" fillId="17" borderId="0" xfId="0" applyFont="1" applyFill="1"/>
    <xf numFmtId="168" fontId="75" fillId="17" borderId="3" xfId="27" applyNumberFormat="1" applyFont="1" applyFill="1" applyBorder="1"/>
    <xf numFmtId="0" fontId="75" fillId="17" borderId="1" xfId="2" applyFont="1" applyFill="1" applyBorder="1" applyAlignment="1">
      <alignment horizontal="center" vertical="center" wrapText="1"/>
    </xf>
    <xf numFmtId="49" fontId="75" fillId="17" borderId="2" xfId="27" applyNumberFormat="1" applyFont="1" applyFill="1" applyBorder="1" applyAlignment="1">
      <alignment horizontal="center"/>
    </xf>
    <xf numFmtId="0" fontId="75" fillId="17" borderId="2" xfId="27" applyFont="1" applyFill="1" applyBorder="1"/>
    <xf numFmtId="0" fontId="75" fillId="17" borderId="63" xfId="27" applyFont="1" applyFill="1" applyBorder="1"/>
    <xf numFmtId="0" fontId="75" fillId="17" borderId="4" xfId="27" applyFont="1" applyFill="1" applyBorder="1"/>
    <xf numFmtId="1" fontId="75" fillId="17" borderId="1" xfId="27" applyNumberFormat="1" applyFont="1" applyFill="1" applyBorder="1" applyAlignment="1">
      <alignment horizontal="center"/>
    </xf>
    <xf numFmtId="0" fontId="75" fillId="17" borderId="0" xfId="27" applyFont="1" applyFill="1"/>
    <xf numFmtId="1" fontId="75" fillId="17" borderId="0" xfId="27" applyNumberFormat="1" applyFont="1" applyFill="1" applyAlignment="1">
      <alignment horizontal="center"/>
    </xf>
    <xf numFmtId="168" fontId="75" fillId="17" borderId="3" xfId="27" applyNumberFormat="1" applyFont="1" applyFill="1" applyBorder="1" applyAlignment="1">
      <alignment horizontal="right"/>
    </xf>
    <xf numFmtId="168" fontId="74" fillId="17" borderId="3" xfId="27" applyNumberFormat="1" applyFont="1" applyFill="1" applyBorder="1"/>
    <xf numFmtId="168" fontId="74" fillId="17" borderId="1" xfId="27" applyNumberFormat="1" applyFont="1" applyFill="1" applyBorder="1"/>
    <xf numFmtId="49" fontId="75" fillId="17" borderId="0" xfId="27" applyNumberFormat="1" applyFont="1" applyFill="1" applyAlignment="1">
      <alignment horizontal="center"/>
    </xf>
    <xf numFmtId="168" fontId="74" fillId="17" borderId="3" xfId="27" applyNumberFormat="1" applyFont="1" applyFill="1" applyBorder="1" applyAlignment="1">
      <alignment horizontal="right"/>
    </xf>
    <xf numFmtId="49" fontId="75" fillId="17" borderId="1" xfId="32" applyNumberFormat="1" applyFont="1" applyFill="1" applyBorder="1" applyAlignment="1" applyProtection="1">
      <alignment horizontal="center" vertical="center" textRotation="90" wrapText="1"/>
    </xf>
    <xf numFmtId="0" fontId="91" fillId="17" borderId="0" xfId="27" applyFont="1" applyFill="1" applyAlignment="1">
      <alignment vertical="center"/>
    </xf>
    <xf numFmtId="49" fontId="75" fillId="17" borderId="1" xfId="0" applyNumberFormat="1" applyFont="1" applyFill="1" applyBorder="1" applyAlignment="1" applyProtection="1">
      <alignment horizontal="center" vertical="center" textRotation="90" wrapText="1"/>
    </xf>
    <xf numFmtId="9" fontId="75" fillId="17" borderId="1" xfId="0" applyNumberFormat="1" applyFont="1" applyFill="1" applyBorder="1" applyAlignment="1" applyProtection="1">
      <alignment horizontal="center" vertical="center" textRotation="90" wrapText="1"/>
    </xf>
    <xf numFmtId="168" fontId="75" fillId="0" borderId="3" xfId="27" applyNumberFormat="1" applyFont="1" applyFill="1" applyBorder="1"/>
    <xf numFmtId="168" fontId="74" fillId="0" borderId="3" xfId="27" applyNumberFormat="1" applyFont="1" applyFill="1" applyBorder="1"/>
    <xf numFmtId="0" fontId="92" fillId="17" borderId="0" xfId="27" applyFont="1" applyFill="1" applyAlignment="1">
      <alignment horizontal="center" vertical="center" wrapText="1"/>
    </xf>
    <xf numFmtId="0" fontId="88" fillId="23" borderId="1" xfId="10" applyFont="1" applyFill="1" applyBorder="1" applyAlignment="1">
      <alignment horizontal="center" vertical="top" wrapText="1"/>
    </xf>
    <xf numFmtId="0" fontId="70" fillId="23" borderId="2" xfId="10" applyFont="1" applyFill="1" applyBorder="1" applyAlignment="1">
      <alignment horizontal="center" vertical="top"/>
    </xf>
    <xf numFmtId="0" fontId="88" fillId="23" borderId="2" xfId="10" applyFont="1" applyFill="1" applyBorder="1" applyAlignment="1">
      <alignment horizontal="center" vertical="top" wrapText="1"/>
    </xf>
    <xf numFmtId="0" fontId="88" fillId="23" borderId="3" xfId="1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64" fillId="0" borderId="39" xfId="0" applyFont="1" applyBorder="1" applyAlignment="1">
      <alignment vertical="top" wrapText="1"/>
    </xf>
    <xf numFmtId="0" fontId="64" fillId="0" borderId="67" xfId="0" applyFont="1" applyBorder="1" applyAlignment="1">
      <alignment vertical="top" wrapText="1"/>
    </xf>
    <xf numFmtId="0" fontId="64" fillId="0" borderId="39" xfId="0" applyFont="1" applyBorder="1" applyAlignment="1">
      <alignment horizontal="center" vertical="top" wrapText="1"/>
    </xf>
    <xf numFmtId="0" fontId="64" fillId="0" borderId="40" xfId="0" applyFont="1" applyBorder="1" applyAlignment="1">
      <alignment horizontal="center" vertical="top" wrapText="1"/>
    </xf>
    <xf numFmtId="0" fontId="85" fillId="0" borderId="39" xfId="0" applyFont="1" applyBorder="1" applyAlignment="1">
      <alignment horizontal="center"/>
    </xf>
    <xf numFmtId="0" fontId="85" fillId="0" borderId="41" xfId="0" applyFont="1" applyBorder="1" applyAlignment="1">
      <alignment horizontal="center"/>
    </xf>
    <xf numFmtId="0" fontId="85" fillId="0" borderId="40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0" xfId="0" applyFont="1" applyAlignment="1"/>
    <xf numFmtId="0" fontId="64" fillId="0" borderId="42" xfId="0" applyFont="1" applyBorder="1" applyAlignment="1">
      <alignment horizontal="center" wrapText="1"/>
    </xf>
    <xf numFmtId="0" fontId="64" fillId="0" borderId="46" xfId="0" applyFont="1" applyBorder="1" applyAlignment="1">
      <alignment horizont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64" fillId="0" borderId="43" xfId="0" applyFont="1" applyBorder="1" applyAlignment="1">
      <alignment horizontal="center" wrapText="1"/>
    </xf>
    <xf numFmtId="0" fontId="0" fillId="0" borderId="46" xfId="0" applyFont="1" applyBorder="1" applyAlignment="1">
      <alignment wrapText="1"/>
    </xf>
    <xf numFmtId="0" fontId="79" fillId="0" borderId="0" xfId="0" applyFont="1" applyBorder="1" applyAlignment="1">
      <alignment horizontal="center" vertical="top" wrapText="1"/>
    </xf>
    <xf numFmtId="0" fontId="79" fillId="0" borderId="68" xfId="0" applyFont="1" applyBorder="1" applyAlignment="1">
      <alignment horizontal="center" vertical="top" wrapText="1"/>
    </xf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 vertical="center"/>
    </xf>
    <xf numFmtId="0" fontId="85" fillId="0" borderId="39" xfId="0" applyFont="1" applyBorder="1" applyAlignment="1">
      <alignment horizontal="center" wrapText="1"/>
    </xf>
    <xf numFmtId="0" fontId="85" fillId="0" borderId="41" xfId="0" applyFont="1" applyBorder="1" applyAlignment="1">
      <alignment horizontal="center" wrapText="1"/>
    </xf>
    <xf numFmtId="0" fontId="85" fillId="0" borderId="40" xfId="0" applyFont="1" applyBorder="1" applyAlignment="1">
      <alignment horizontal="center" wrapText="1"/>
    </xf>
    <xf numFmtId="0" fontId="85" fillId="0" borderId="0" xfId="0" applyFont="1" applyAlignment="1">
      <alignment horizontal="center" wrapText="1" shrinkToFit="1"/>
    </xf>
    <xf numFmtId="0" fontId="84" fillId="0" borderId="0" xfId="0" applyFont="1" applyAlignment="1">
      <alignment wrapText="1"/>
    </xf>
    <xf numFmtId="2" fontId="85" fillId="0" borderId="39" xfId="0" applyNumberFormat="1" applyFont="1" applyBorder="1" applyAlignment="1">
      <alignment horizontal="center" vertical="center" wrapText="1"/>
    </xf>
    <xf numFmtId="2" fontId="85" fillId="0" borderId="41" xfId="0" applyNumberFormat="1" applyFont="1" applyBorder="1" applyAlignment="1">
      <alignment horizontal="center" vertical="center" wrapText="1"/>
    </xf>
    <xf numFmtId="2" fontId="85" fillId="0" borderId="40" xfId="0" applyNumberFormat="1" applyFont="1" applyBorder="1" applyAlignment="1">
      <alignment horizontal="center" vertical="center" wrapText="1"/>
    </xf>
    <xf numFmtId="0" fontId="85" fillId="0" borderId="57" xfId="0" applyFont="1" applyBorder="1" applyAlignment="1">
      <alignment horizontal="center" wrapText="1" shrinkToFit="1"/>
    </xf>
    <xf numFmtId="2" fontId="42" fillId="17" borderId="0" xfId="0" applyNumberFormat="1" applyFont="1" applyFill="1" applyBorder="1" applyAlignment="1">
      <alignment horizontal="center"/>
    </xf>
    <xf numFmtId="2" fontId="48" fillId="17" borderId="42" xfId="0" applyNumberFormat="1" applyFont="1" applyFill="1" applyBorder="1" applyAlignment="1">
      <alignment horizontal="center" wrapText="1"/>
    </xf>
    <xf numFmtId="2" fontId="48" fillId="17" borderId="43" xfId="0" applyNumberFormat="1" applyFont="1" applyFill="1" applyBorder="1" applyAlignment="1">
      <alignment horizontal="center" wrapText="1"/>
    </xf>
    <xf numFmtId="0" fontId="27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 wrapText="1"/>
    </xf>
    <xf numFmtId="0" fontId="29" fillId="5" borderId="4" xfId="4" applyFont="1" applyFill="1" applyBorder="1" applyAlignment="1">
      <alignment horizontal="center"/>
    </xf>
    <xf numFmtId="0" fontId="29" fillId="5" borderId="6" xfId="4" applyFont="1" applyFill="1" applyBorder="1" applyAlignment="1">
      <alignment horizontal="center"/>
    </xf>
    <xf numFmtId="0" fontId="16" fillId="0" borderId="23" xfId="4" applyFont="1" applyBorder="1" applyAlignment="1">
      <alignment horizontal="left" wrapText="1"/>
    </xf>
    <xf numFmtId="0" fontId="16" fillId="0" borderId="24" xfId="4" applyFont="1" applyBorder="1" applyAlignment="1">
      <alignment horizontal="left" wrapText="1"/>
    </xf>
    <xf numFmtId="0" fontId="16" fillId="0" borderId="25" xfId="4" applyFont="1" applyBorder="1" applyAlignment="1">
      <alignment horizontal="left" wrapText="1"/>
    </xf>
    <xf numFmtId="0" fontId="33" fillId="5" borderId="27" xfId="4" applyFont="1" applyFill="1" applyBorder="1" applyAlignment="1">
      <alignment horizontal="center" vertical="top" wrapText="1"/>
    </xf>
    <xf numFmtId="0" fontId="33" fillId="5" borderId="26" xfId="4" applyFont="1" applyFill="1" applyBorder="1" applyAlignment="1">
      <alignment horizontal="center" vertical="top" wrapText="1"/>
    </xf>
    <xf numFmtId="0" fontId="33" fillId="5" borderId="22" xfId="4" applyFont="1" applyFill="1" applyBorder="1" applyAlignment="1">
      <alignment horizontal="center" vertical="center"/>
    </xf>
    <xf numFmtId="0" fontId="33" fillId="5" borderId="22" xfId="4" applyFont="1" applyFill="1" applyBorder="1" applyAlignment="1">
      <alignment horizontal="center" vertical="top" wrapText="1" shrinkToFit="1"/>
    </xf>
    <xf numFmtId="0" fontId="33" fillId="5" borderId="22" xfId="4" applyFont="1" applyFill="1" applyBorder="1" applyAlignment="1">
      <alignment horizontal="center" vertical="center" wrapText="1"/>
    </xf>
    <xf numFmtId="0" fontId="33" fillId="5" borderId="28" xfId="4" applyFont="1" applyFill="1" applyBorder="1" applyAlignment="1">
      <alignment horizontal="center" vertical="center" wrapText="1"/>
    </xf>
    <xf numFmtId="0" fontId="33" fillId="5" borderId="2" xfId="4" applyFont="1" applyFill="1" applyBorder="1" applyAlignment="1">
      <alignment horizontal="center" vertical="top" wrapText="1"/>
    </xf>
    <xf numFmtId="0" fontId="33" fillId="5" borderId="3" xfId="4" applyFont="1" applyFill="1" applyBorder="1" applyAlignment="1">
      <alignment horizontal="center" vertical="top" wrapText="1"/>
    </xf>
    <xf numFmtId="0" fontId="33" fillId="5" borderId="22" xfId="4" applyFont="1" applyFill="1" applyBorder="1" applyAlignment="1">
      <alignment horizontal="center" vertical="top" wrapText="1"/>
    </xf>
    <xf numFmtId="0" fontId="33" fillId="5" borderId="28" xfId="4" applyFont="1" applyFill="1" applyBorder="1" applyAlignment="1">
      <alignment horizontal="center" vertical="top" wrapText="1"/>
    </xf>
    <xf numFmtId="0" fontId="33" fillId="5" borderId="29" xfId="4" applyFont="1" applyFill="1" applyBorder="1" applyAlignment="1">
      <alignment horizontal="center" vertical="top" wrapText="1"/>
    </xf>
    <xf numFmtId="0" fontId="75" fillId="17" borderId="0" xfId="0" applyFont="1" applyFill="1" applyBorder="1"/>
    <xf numFmtId="168" fontId="75" fillId="17" borderId="0" xfId="0" applyNumberFormat="1" applyFont="1" applyFill="1"/>
    <xf numFmtId="0" fontId="74" fillId="17" borderId="0" xfId="27" applyFont="1" applyFill="1"/>
    <xf numFmtId="0" fontId="75" fillId="17" borderId="0" xfId="27" applyFont="1" applyFill="1" applyAlignment="1">
      <alignment horizontal="right"/>
    </xf>
    <xf numFmtId="0" fontId="77" fillId="17" borderId="0" xfId="27" applyFont="1" applyFill="1"/>
    <xf numFmtId="0" fontId="75" fillId="17" borderId="4" xfId="0" applyFont="1" applyFill="1" applyBorder="1" applyAlignment="1">
      <alignment horizontal="center"/>
    </xf>
    <xf numFmtId="0" fontId="75" fillId="17" borderId="5" xfId="0" applyFont="1" applyFill="1" applyBorder="1" applyAlignment="1">
      <alignment horizontal="center"/>
    </xf>
    <xf numFmtId="0" fontId="75" fillId="17" borderId="6" xfId="0" applyFont="1" applyFill="1" applyBorder="1" applyAlignment="1">
      <alignment horizontal="center"/>
    </xf>
    <xf numFmtId="0" fontId="75" fillId="17" borderId="8" xfId="0" applyFont="1" applyFill="1" applyBorder="1"/>
    <xf numFmtId="0" fontId="75" fillId="17" borderId="0" xfId="0" applyFont="1" applyFill="1" applyBorder="1" applyAlignment="1">
      <alignment horizontal="center" vertical="center" wrapText="1"/>
    </xf>
    <xf numFmtId="49" fontId="75" fillId="17" borderId="1" xfId="2" applyNumberFormat="1" applyFont="1" applyFill="1" applyBorder="1" applyAlignment="1" applyProtection="1">
      <alignment horizontal="center" vertical="center" textRotation="90" wrapText="1"/>
    </xf>
    <xf numFmtId="49" fontId="75" fillId="17" borderId="1" xfId="32" applyNumberFormat="1" applyFont="1" applyFill="1" applyBorder="1" applyAlignment="1" applyProtection="1">
      <alignment horizontal="left" vertical="center" textRotation="90" wrapText="1"/>
    </xf>
    <xf numFmtId="168" fontId="75" fillId="17" borderId="1" xfId="0" applyNumberFormat="1" applyFont="1" applyFill="1" applyBorder="1" applyAlignment="1">
      <alignment horizontal="right"/>
    </xf>
    <xf numFmtId="168" fontId="75" fillId="17" borderId="1" xfId="0" applyNumberFormat="1" applyFont="1" applyFill="1" applyBorder="1" applyAlignment="1" applyProtection="1">
      <alignment horizontal="right" vertical="center"/>
    </xf>
    <xf numFmtId="0" fontId="75" fillId="17" borderId="1" xfId="0" applyFont="1" applyFill="1" applyBorder="1" applyAlignment="1">
      <alignment horizontal="right"/>
    </xf>
    <xf numFmtId="9" fontId="74" fillId="17" borderId="1" xfId="1" applyNumberFormat="1" applyFont="1" applyFill="1" applyBorder="1"/>
    <xf numFmtId="2" fontId="75" fillId="17" borderId="0" xfId="0" applyNumberFormat="1" applyFont="1" applyFill="1" applyBorder="1"/>
    <xf numFmtId="1" fontId="75" fillId="17" borderId="0" xfId="0" applyNumberFormat="1" applyFont="1" applyFill="1" applyBorder="1"/>
    <xf numFmtId="9" fontId="75" fillId="17" borderId="0" xfId="1" applyFont="1" applyFill="1"/>
    <xf numFmtId="168" fontId="75" fillId="17" borderId="1" xfId="0" applyNumberFormat="1" applyFont="1" applyFill="1" applyBorder="1"/>
    <xf numFmtId="168" fontId="75" fillId="0" borderId="1" xfId="0" applyNumberFormat="1" applyFont="1" applyFill="1" applyBorder="1" applyAlignment="1" applyProtection="1">
      <alignment horizontal="right" vertical="center"/>
    </xf>
    <xf numFmtId="1" fontId="75" fillId="17" borderId="0" xfId="0" applyNumberFormat="1" applyFont="1" applyFill="1"/>
  </cellXfs>
  <cellStyles count="82">
    <cellStyle name="Comma_AUGUST for Budget" xfId="13"/>
    <cellStyle name="Excel_BuiltIn_Comma" xfId="14"/>
    <cellStyle name="Heading" xfId="15"/>
    <cellStyle name="Heading1" xfId="16"/>
    <cellStyle name="Result" xfId="17"/>
    <cellStyle name="Result2" xfId="18"/>
    <cellStyle name="Гиперссылка 2" xfId="7"/>
    <cellStyle name="Гиперссылка 3" xfId="76"/>
    <cellStyle name="Звичайний 10" xfId="35"/>
    <cellStyle name="Звичайний 11" xfId="36"/>
    <cellStyle name="Звичайний 12" xfId="37"/>
    <cellStyle name="Звичайний 14" xfId="38"/>
    <cellStyle name="Звичайний 15" xfId="39"/>
    <cellStyle name="Звичайний 16" xfId="40"/>
    <cellStyle name="Звичайний 17" xfId="41"/>
    <cellStyle name="Звичайний 2" xfId="42"/>
    <cellStyle name="Звичайний 21" xfId="43"/>
    <cellStyle name="Звичайний 22" xfId="44"/>
    <cellStyle name="Звичайний 23" xfId="45"/>
    <cellStyle name="Звичайний 3" xfId="46"/>
    <cellStyle name="Звичайний 4" xfId="47"/>
    <cellStyle name="Звичайний 5" xfId="48"/>
    <cellStyle name="Звичайний 6" xfId="49"/>
    <cellStyle name="Звичайний 7" xfId="50"/>
    <cellStyle name="Звичайний 8" xfId="51"/>
    <cellStyle name="Звичайний 9" xfId="52"/>
    <cellStyle name="Обычный" xfId="0" builtinId="0"/>
    <cellStyle name="Обычный 10" xfId="25"/>
    <cellStyle name="Обычный 11" xfId="26"/>
    <cellStyle name="Обычный 11 2" xfId="9"/>
    <cellStyle name="Обычный 12" xfId="27"/>
    <cellStyle name="Обычный 13" xfId="28"/>
    <cellStyle name="Обычный 14" xfId="73"/>
    <cellStyle name="Обычный 15" xfId="74"/>
    <cellStyle name="Обычный 16" xfId="75"/>
    <cellStyle name="Обычный 17" xfId="78"/>
    <cellStyle name="Обычный 18" xfId="79"/>
    <cellStyle name="Обычный 2" xfId="2"/>
    <cellStyle name="Обычный 2 10" xfId="53"/>
    <cellStyle name="Обычный 2 11" xfId="54"/>
    <cellStyle name="Обычный 2 12" xfId="55"/>
    <cellStyle name="Обычный 2 13" xfId="56"/>
    <cellStyle name="Обычный 2 14" xfId="57"/>
    <cellStyle name="Обычный 2 15" xfId="58"/>
    <cellStyle name="Обычный 2 16" xfId="59"/>
    <cellStyle name="Обычный 2 17" xfId="60"/>
    <cellStyle name="Обычный 2 18" xfId="61"/>
    <cellStyle name="Обычный 2 19" xfId="62"/>
    <cellStyle name="Обычный 2 2" xfId="10"/>
    <cellStyle name="Обычный 2 20" xfId="63"/>
    <cellStyle name="Обычный 2 21" xfId="64"/>
    <cellStyle name="Обычный 2 22" xfId="65"/>
    <cellStyle name="Обычный 2 23" xfId="66"/>
    <cellStyle name="Обычный 2 24" xfId="67"/>
    <cellStyle name="Обычный 2 25" xfId="77"/>
    <cellStyle name="Обычный 2 3" xfId="29"/>
    <cellStyle name="Обычный 2 4" xfId="32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3" xfId="4"/>
    <cellStyle name="Обычный 3 2" xfId="11"/>
    <cellStyle name="Обычный 3 3" xfId="30"/>
    <cellStyle name="Обычный 3 4" xfId="33"/>
    <cellStyle name="Обычный 3 5" xfId="81"/>
    <cellStyle name="Обычный 4" xfId="19"/>
    <cellStyle name="Обычный 4 2" xfId="31"/>
    <cellStyle name="Обычный 4 3" xfId="34"/>
    <cellStyle name="Обычный 5" xfId="12"/>
    <cellStyle name="Обычный 6" xfId="20"/>
    <cellStyle name="Обычный 7" xfId="21"/>
    <cellStyle name="Обычный 8" xfId="22"/>
    <cellStyle name="Обычный 9" xfId="23"/>
    <cellStyle name="Процентный" xfId="1" builtinId="5"/>
    <cellStyle name="Процентный 2" xfId="3"/>
    <cellStyle name="Процентный 2 2" xfId="6"/>
    <cellStyle name="Процентный 3" xfId="5"/>
    <cellStyle name="Процентный 4" xfId="80"/>
    <cellStyle name="Финансовый 2" xfId="8"/>
    <cellStyle name="Финансовый 3" xfId="24"/>
  </cellStyles>
  <dxfs count="10"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Documents%20and%20Settings/&#1040;&#1076;&#1084;&#1080;&#1085;&#1080;&#1089;&#1090;&#1088;&#1072;&#1090;&#1086;&#1088;/Application%20Data/Microsoft/Excel/&#1058;&#1072;&#1088;&#1080;&#1092;%20&#1057;&#1042;&#1030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General/&#1058;&#1072;&#1088;&#1080;&#1092;%20&#1057;&#1042;&#1030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1044;&#1074;&#1110;&#1088;/&#1056;&#1072;&#1089;&#1095;&#1077;&#1090;%20&#1079;&#1072;&#1088;&#1087;%20&#1076;&#1074;&#1086;&#1088;&#1085;&#1080;&#1082;&#1086;&#1074;%20165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General/&#1054;&#1088;&#1075;_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рук _2_"/>
      <sheetName val="Тепло 2"/>
      <sheetName val="Остаточно"/>
      <sheetName val="Тепло"/>
      <sheetName val="Друк"/>
      <sheetName val="анкета общая"/>
      <sheetName val="прибирання ПБТ"/>
      <sheetName val="прибирання СхКл"/>
      <sheetName val="чисел_приб"/>
      <sheetName val="чисел_двірн"/>
      <sheetName val="ф_О_П_ двірників"/>
      <sheetName val="Ф_О_П_ прибир"/>
      <sheetName val="одяг_инстр_прибир_"/>
      <sheetName val="одяг_инстр_двір"/>
      <sheetName val="талони сміття"/>
      <sheetName val="вода прибирання"/>
      <sheetName val="Газони"/>
      <sheetName val="пр_двор_туал_"/>
      <sheetName val="сміття"/>
      <sheetName val="пр_сміттєпр_"/>
      <sheetName val="освітл_кліт_підв_"/>
      <sheetName val="внутрянка"/>
      <sheetName val="промивки"/>
      <sheetName val="вода"/>
      <sheetName val="лічильник"/>
      <sheetName val="аварийка"/>
      <sheetName val="З_П_"/>
      <sheetName val="матеріали_інструм"/>
      <sheetName val="спецодяг"/>
      <sheetName val="авто"/>
      <sheetName val="інші"/>
      <sheetName val="дератизація"/>
      <sheetName val="вент_канали"/>
      <sheetName val="поточн_ремонт покрівель"/>
      <sheetName val="поточ_ремонт нес_зах_констр_"/>
      <sheetName val="Лист37"/>
      <sheetName val="підгот_до зими"/>
      <sheetName val="поточ_рем_буд_газопроводу"/>
      <sheetName val="Ремонт тв_покриття дворових пр "/>
      <sheetName val="п_рем_підїздів спорт"/>
      <sheetName val="п_рем_туалетів"/>
      <sheetName val="печі та ДВК"/>
      <sheetName val="вивіз снігу"/>
      <sheetName val="З_П_п_рем_под_"/>
      <sheetName val="спец_одяг_инстр"/>
      <sheetName val="номерні знак"/>
      <sheetName val="елект_плити"/>
      <sheetName val="паспорт"/>
      <sheetName val="збут"/>
      <sheetName val="ліфти"/>
      <sheetName val="загальновир"/>
      <sheetName val="виробн_приміщ"/>
      <sheetName val="транспорт"/>
      <sheetName val="З_П_трансп"/>
      <sheetName val="спецодяг транс"/>
      <sheetName val="аморт_транс"/>
      <sheetName val="паливо"/>
      <sheetName val="шини"/>
      <sheetName val="утрим_прим_транс"/>
      <sheetName val="адміни"/>
      <sheetName val="чисельніст"/>
      <sheetName val="розрахунок З_П_"/>
      <sheetName val="Тариф накл"/>
      <sheetName val="Тариф накл_214"/>
      <sheetName val="тариф"/>
    </sheetNames>
    <sheetDataSet>
      <sheetData sheetId="0"/>
      <sheetData sheetId="1"/>
      <sheetData sheetId="2">
        <row r="39">
          <cell r="J39">
            <v>0.12</v>
          </cell>
        </row>
      </sheetData>
      <sheetData sheetId="3"/>
      <sheetData sheetId="4"/>
      <sheetData sheetId="5"/>
      <sheetData sheetId="6">
        <row r="2">
          <cell r="C2">
            <v>0.13300000000000001</v>
          </cell>
        </row>
      </sheetData>
      <sheetData sheetId="7"/>
      <sheetData sheetId="8">
        <row r="43">
          <cell r="C43">
            <v>44</v>
          </cell>
        </row>
      </sheetData>
      <sheetData sheetId="9">
        <row r="28">
          <cell r="C28">
            <v>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C28">
            <v>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9">
          <cell r="F19">
            <v>894.24</v>
          </cell>
        </row>
      </sheetData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рук _2_"/>
      <sheetName val="Тепло 2"/>
      <sheetName val="Остаточно"/>
      <sheetName val="Тепло"/>
      <sheetName val="Друк"/>
      <sheetName val="анкета общая"/>
      <sheetName val="прибирання ПБТ"/>
      <sheetName val="прибирання СхКл"/>
      <sheetName val="чисел_приб"/>
      <sheetName val="чисел_двірн"/>
      <sheetName val="ф_О_П_ двірників"/>
      <sheetName val="Ф_О_П_ прибир"/>
      <sheetName val="одяг_инстр_прибир_"/>
      <sheetName val="одяг_инстр_двір"/>
      <sheetName val="талони сміття"/>
      <sheetName val="вода прибирання"/>
      <sheetName val="Газони"/>
      <sheetName val="пр_двор_туал_"/>
      <sheetName val="сміття"/>
      <sheetName val="пр_сміттєпр_"/>
      <sheetName val="освітл_кліт_підв_"/>
      <sheetName val="внутрянка"/>
      <sheetName val="промивки"/>
      <sheetName val="вода"/>
      <sheetName val="лічильник"/>
      <sheetName val="аварийка"/>
      <sheetName val="З_П_"/>
      <sheetName val="матеріали_інструм"/>
      <sheetName val="спецодяг"/>
      <sheetName val="авто"/>
      <sheetName val="інші"/>
      <sheetName val="дератизація"/>
      <sheetName val="вент_канали"/>
      <sheetName val="поточн_ремонт покрівель"/>
      <sheetName val="поточ_ремонт нес_зах_констр_"/>
      <sheetName val="Лист37"/>
      <sheetName val="підгот_до зими"/>
      <sheetName val="поточ_рем_буд_газопроводу"/>
      <sheetName val="Ремонт тв_покриття дворових пр "/>
      <sheetName val="п_рем_підїздів спорт"/>
      <sheetName val="п_рем_туалетів"/>
      <sheetName val="печі та ДВК"/>
      <sheetName val="вивіз снігу"/>
      <sheetName val="З_П_п_рем_под_"/>
      <sheetName val="спец_одяг_инстр"/>
      <sheetName val="номерні знак"/>
      <sheetName val="елект_плити"/>
      <sheetName val="паспорт"/>
      <sheetName val="збут"/>
      <sheetName val="ліфти"/>
      <sheetName val="загальновир"/>
      <sheetName val="виробн_приміщ"/>
      <sheetName val="транспорт"/>
      <sheetName val="З_П_трансп"/>
      <sheetName val="спецодяг транс"/>
      <sheetName val="аморт_транс"/>
      <sheetName val="паливо"/>
      <sheetName val="шини"/>
      <sheetName val="утрим_прим_транс"/>
      <sheetName val="адміни"/>
      <sheetName val="чисельніст"/>
      <sheetName val="розрахунок З_П_"/>
      <sheetName val="Тариф накл"/>
      <sheetName val="Тариф накл_214"/>
      <sheetName val="тариф"/>
    </sheetNames>
    <sheetDataSet>
      <sheetData sheetId="0"/>
      <sheetData sheetId="1"/>
      <sheetData sheetId="2">
        <row r="39">
          <cell r="J39">
            <v>0.12</v>
          </cell>
        </row>
      </sheetData>
      <sheetData sheetId="3"/>
      <sheetData sheetId="4"/>
      <sheetData sheetId="5"/>
      <sheetData sheetId="6">
        <row r="2">
          <cell r="C2">
            <v>0.13300000000000001</v>
          </cell>
        </row>
      </sheetData>
      <sheetData sheetId="7"/>
      <sheetData sheetId="8">
        <row r="43">
          <cell r="C43">
            <v>44</v>
          </cell>
        </row>
      </sheetData>
      <sheetData sheetId="9">
        <row r="28">
          <cell r="C28">
            <v>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8">
          <cell r="C28">
            <v>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9">
          <cell r="F19">
            <v>894.24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ворники"/>
      <sheetName val="удобн. фор."/>
      <sheetName val="двірн 05 "/>
      <sheetName val="прибирання"/>
      <sheetName val="розподіл"/>
      <sheetName val="04"/>
      <sheetName val="Лист2"/>
      <sheetName val="уточн. площ"/>
      <sheetName val="двірн 10"/>
      <sheetName val="влксм"/>
      <sheetName val="двірн 11"/>
      <sheetName val="двірн 12"/>
      <sheetName val="02.12"/>
      <sheetName val="14.03.12"/>
      <sheetName val="04.12"/>
      <sheetName val="куж"/>
      <sheetName val="Десн"/>
      <sheetName val="роздача 1"/>
      <sheetName val="верес.12"/>
      <sheetName val="12.12"/>
      <sheetName val="доплати"/>
      <sheetName val="підвищ"/>
      <sheetName val="роздача"/>
      <sheetName val="с 01.13"/>
      <sheetName val="розділ"/>
      <sheetName val="майстри"/>
      <sheetName val="олена"/>
      <sheetName val="Т.А."/>
      <sheetName val="12.03"/>
      <sheetName val="мітли"/>
      <sheetName val="03.04.13"/>
      <sheetName val="01.08.13"/>
      <sheetName val="1.09"/>
      <sheetName val="мак"/>
      <sheetName val="обмір"/>
      <sheetName val="регл сх"/>
      <sheetName val="регл дв"/>
      <sheetName val="підв."/>
      <sheetName val="пдв.ср."/>
      <sheetName val="01.10"/>
      <sheetName val="985 н.пл"/>
      <sheetName val="акт"/>
    </sheetNames>
    <sheetDataSet>
      <sheetData sheetId="0" refreshError="1"/>
      <sheetData sheetId="1">
        <row r="324">
          <cell r="J324">
            <v>64480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_1"/>
      <sheetName val="2010_2"/>
      <sheetName val="2011_1"/>
      <sheetName val="630"/>
      <sheetName val="884"/>
      <sheetName val="01.05.2010"/>
      <sheetName val="01.01.2011"/>
      <sheetName val="01.02.2011"/>
      <sheetName val="ЗП"/>
      <sheetName val="Г_У"/>
      <sheetName val="Аналіз_630-907"/>
      <sheetName val="дод_5"/>
      <sheetName val="Графік"/>
      <sheetName val="скор"/>
      <sheetName val="Двірники"/>
      <sheetName val="744"/>
      <sheetName val="Лист1"/>
      <sheetName val="КД"/>
      <sheetName val="Лист3"/>
    </sheetNames>
    <sheetDataSet>
      <sheetData sheetId="0"/>
      <sheetData sheetId="1"/>
      <sheetData sheetId="2"/>
      <sheetData sheetId="3">
        <row r="73">
          <cell r="D73">
            <v>158.80000000000001</v>
          </cell>
          <cell r="G73">
            <v>163642.81499999997</v>
          </cell>
          <cell r="M73">
            <v>5807.4030000000012</v>
          </cell>
          <cell r="N73">
            <v>169450.21800000002</v>
          </cell>
        </row>
      </sheetData>
      <sheetData sheetId="4"/>
      <sheetData sheetId="5">
        <row r="74">
          <cell r="N74">
            <v>224275.40086666663</v>
          </cell>
        </row>
      </sheetData>
      <sheetData sheetId="6"/>
      <sheetData sheetId="7"/>
      <sheetData sheetId="8"/>
      <sheetData sheetId="9">
        <row r="12">
          <cell r="I12">
            <v>1.2</v>
          </cell>
        </row>
        <row r="14">
          <cell r="L14">
            <v>3.4</v>
          </cell>
        </row>
        <row r="16">
          <cell r="L16">
            <v>2.8</v>
          </cell>
        </row>
        <row r="17">
          <cell r="L17">
            <v>2.35</v>
          </cell>
        </row>
        <row r="18">
          <cell r="L18">
            <v>2.2999999999999998</v>
          </cell>
        </row>
        <row r="19">
          <cell r="L19">
            <v>1.8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97"/>
  <sheetViews>
    <sheetView tabSelected="1" zoomScale="80" zoomScaleNormal="80" workbookViewId="0"/>
  </sheetViews>
  <sheetFormatPr defaultColWidth="9.140625" defaultRowHeight="12.75" outlineLevelCol="2"/>
  <cols>
    <col min="1" max="1" width="4.85546875" style="791" customWidth="1"/>
    <col min="2" max="2" width="29.140625" style="786" customWidth="1"/>
    <col min="3" max="4" width="9" style="786" customWidth="1"/>
    <col min="5" max="5" width="6.7109375" style="786" customWidth="1"/>
    <col min="6" max="6" width="6.42578125" style="777" customWidth="1"/>
    <col min="7" max="7" width="8" style="777" customWidth="1"/>
    <col min="8" max="8" width="7" style="786" customWidth="1"/>
    <col min="9" max="9" width="11.140625" style="777" customWidth="1"/>
    <col min="10" max="10" width="8" style="777" customWidth="1"/>
    <col min="11" max="11" width="6.28515625" style="777" customWidth="1"/>
    <col min="12" max="12" width="5.140625" style="777" customWidth="1"/>
    <col min="13" max="13" width="16.140625" style="777" customWidth="1"/>
    <col min="14" max="14" width="6.140625" style="777" customWidth="1"/>
    <col min="15" max="15" width="6" style="777" customWidth="1"/>
    <col min="16" max="16" width="5.85546875" style="777" customWidth="1"/>
    <col min="17" max="17" width="17" style="777" customWidth="1"/>
    <col min="18" max="18" width="15" style="777" customWidth="1"/>
    <col min="19" max="19" width="11.28515625" style="777" customWidth="1"/>
    <col min="20" max="20" width="5.140625" style="777" customWidth="1"/>
    <col min="21" max="21" width="8" style="777" customWidth="1"/>
    <col min="22" max="22" width="6.42578125" style="777" customWidth="1"/>
    <col min="23" max="23" width="6.5703125" style="854" customWidth="1" outlineLevel="1"/>
    <col min="24" max="24" width="6.28515625" style="777" customWidth="1" outlineLevel="1"/>
    <col min="25" max="25" width="7.7109375" style="777" customWidth="1" outlineLevel="2"/>
    <col min="26" max="26" width="9.140625" style="777" customWidth="1" outlineLevel="2"/>
    <col min="27" max="27" width="18.140625" style="777" customWidth="1" outlineLevel="2"/>
    <col min="28" max="30" width="9.140625" style="777" customWidth="1" outlineLevel="2"/>
    <col min="31" max="34" width="9.140625" style="777" customWidth="1" outlineLevel="1"/>
    <col min="35" max="36" width="9.140625" style="777" customWidth="1"/>
    <col min="37" max="16384" width="9.140625" style="777"/>
  </cols>
  <sheetData>
    <row r="1" spans="1:30" ht="46.5" customHeight="1">
      <c r="B1" s="856"/>
      <c r="C1" s="799" t="s">
        <v>1078</v>
      </c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4"/>
      <c r="P1" s="794"/>
      <c r="Q1" s="794"/>
      <c r="R1" s="794"/>
      <c r="S1" s="794" t="s">
        <v>1085</v>
      </c>
      <c r="T1" s="794"/>
      <c r="U1" s="786"/>
      <c r="V1" s="791"/>
      <c r="W1" s="786"/>
      <c r="X1" s="791"/>
      <c r="Y1" s="791"/>
    </row>
    <row r="2" spans="1:30" ht="19.5" customHeight="1">
      <c r="C2" s="857"/>
      <c r="F2" s="786"/>
      <c r="G2" s="786"/>
      <c r="I2" s="858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77" t="s">
        <v>1066</v>
      </c>
      <c r="V2" s="786"/>
      <c r="W2" s="777"/>
      <c r="Y2" s="854"/>
      <c r="Z2" s="854"/>
      <c r="AA2" s="854"/>
    </row>
    <row r="3" spans="1:30" ht="15" hidden="1" customHeight="1">
      <c r="A3" s="781"/>
      <c r="B3" s="782"/>
      <c r="C3" s="782"/>
      <c r="D3" s="783"/>
      <c r="E3" s="784"/>
      <c r="F3" s="859" t="s">
        <v>1051</v>
      </c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1"/>
      <c r="W3" s="862"/>
      <c r="X3" s="854"/>
      <c r="Y3" s="854"/>
      <c r="Z3" s="863"/>
      <c r="AA3" s="854"/>
    </row>
    <row r="4" spans="1:30" ht="270" customHeight="1">
      <c r="A4" s="780" t="s">
        <v>2</v>
      </c>
      <c r="B4" s="780" t="s">
        <v>3</v>
      </c>
      <c r="C4" s="864" t="s">
        <v>1044</v>
      </c>
      <c r="D4" s="793" t="s">
        <v>1045</v>
      </c>
      <c r="E4" s="793" t="s">
        <v>1052</v>
      </c>
      <c r="F4" s="793" t="s">
        <v>1053</v>
      </c>
      <c r="G4" s="865" t="s">
        <v>1065</v>
      </c>
      <c r="H4" s="865" t="s">
        <v>1046</v>
      </c>
      <c r="I4" s="865" t="s">
        <v>1054</v>
      </c>
      <c r="J4" s="865" t="s">
        <v>1055</v>
      </c>
      <c r="K4" s="865" t="s">
        <v>1047</v>
      </c>
      <c r="L4" s="865" t="s">
        <v>1048</v>
      </c>
      <c r="M4" s="865" t="s">
        <v>1056</v>
      </c>
      <c r="N4" s="865" t="s">
        <v>1049</v>
      </c>
      <c r="O4" s="865" t="s">
        <v>1050</v>
      </c>
      <c r="P4" s="865" t="s">
        <v>1057</v>
      </c>
      <c r="Q4" s="865" t="s">
        <v>1058</v>
      </c>
      <c r="R4" s="865" t="s">
        <v>1059</v>
      </c>
      <c r="S4" s="865" t="s">
        <v>1060</v>
      </c>
      <c r="T4" s="865" t="s">
        <v>1061</v>
      </c>
      <c r="U4" s="865" t="s">
        <v>1062</v>
      </c>
      <c r="V4" s="865" t="s">
        <v>1063</v>
      </c>
      <c r="W4" s="795" t="s">
        <v>1084</v>
      </c>
      <c r="X4" s="796" t="s">
        <v>1064</v>
      </c>
      <c r="Y4" s="854"/>
      <c r="Z4" s="863"/>
      <c r="AA4" s="854"/>
    </row>
    <row r="5" spans="1:30" ht="17.25" customHeight="1">
      <c r="A5" s="785">
        <v>1</v>
      </c>
      <c r="B5" s="776" t="s">
        <v>1067</v>
      </c>
      <c r="C5" s="866">
        <v>0.10765619214829504</v>
      </c>
      <c r="D5" s="788">
        <v>0.10765619214829504</v>
      </c>
      <c r="E5" s="867">
        <v>0.10765619214829504</v>
      </c>
      <c r="F5" s="867">
        <v>0.10765619214829504</v>
      </c>
      <c r="G5" s="789"/>
      <c r="H5" s="792">
        <v>0</v>
      </c>
      <c r="I5" s="789"/>
      <c r="J5" s="789"/>
      <c r="K5" s="789"/>
      <c r="L5" s="789"/>
      <c r="M5" s="789"/>
      <c r="N5" s="789"/>
      <c r="O5" s="789"/>
      <c r="P5" s="789">
        <v>0.10765619214829504</v>
      </c>
      <c r="Q5" s="789"/>
      <c r="R5" s="789"/>
      <c r="S5" s="789"/>
      <c r="T5" s="789"/>
      <c r="U5" s="789"/>
      <c r="V5" s="790"/>
      <c r="W5" s="868">
        <v>0.46800000000000003</v>
      </c>
      <c r="X5" s="869">
        <v>0.23003459860746803</v>
      </c>
      <c r="Y5" s="870"/>
      <c r="Z5" s="854"/>
      <c r="AA5" s="871"/>
      <c r="AD5" s="872"/>
    </row>
    <row r="6" spans="1:30" ht="17.25" customHeight="1">
      <c r="A6" s="785">
        <v>2</v>
      </c>
      <c r="B6" s="776" t="s">
        <v>1068</v>
      </c>
      <c r="C6" s="873">
        <v>0.79757983614380046</v>
      </c>
      <c r="D6" s="779">
        <v>0.79757983614380046</v>
      </c>
      <c r="E6" s="867">
        <v>0.79757983614380046</v>
      </c>
      <c r="F6" s="867">
        <v>0.79757983614380046</v>
      </c>
      <c r="G6" s="789"/>
      <c r="H6" s="789">
        <v>0</v>
      </c>
      <c r="I6" s="789"/>
      <c r="J6" s="789"/>
      <c r="K6" s="789"/>
      <c r="L6" s="789"/>
      <c r="M6" s="789">
        <v>0.21076769908054571</v>
      </c>
      <c r="N6" s="789"/>
      <c r="O6" s="789"/>
      <c r="P6" s="789"/>
      <c r="Q6" s="789">
        <v>0.117194727804781</v>
      </c>
      <c r="R6" s="789">
        <v>0.46961740925847373</v>
      </c>
      <c r="S6" s="789"/>
      <c r="T6" s="789"/>
      <c r="U6" s="789"/>
      <c r="V6" s="790"/>
      <c r="W6" s="868">
        <v>1.407</v>
      </c>
      <c r="X6" s="869">
        <v>0.56686555518393777</v>
      </c>
      <c r="Y6" s="870"/>
      <c r="Z6" s="854"/>
      <c r="AA6" s="871"/>
      <c r="AD6" s="872"/>
    </row>
    <row r="7" spans="1:30" ht="17.25" customHeight="1">
      <c r="A7" s="785">
        <v>3</v>
      </c>
      <c r="B7" s="776" t="s">
        <v>1079</v>
      </c>
      <c r="C7" s="873">
        <v>1.7698668543453797</v>
      </c>
      <c r="D7" s="779">
        <v>1.7698668543453797</v>
      </c>
      <c r="E7" s="867">
        <v>1.489252747158043</v>
      </c>
      <c r="F7" s="867">
        <v>1.6840549849823601</v>
      </c>
      <c r="G7" s="789">
        <v>0.2627151166191547</v>
      </c>
      <c r="H7" s="789">
        <v>0.19480223782431699</v>
      </c>
      <c r="I7" s="789"/>
      <c r="J7" s="789"/>
      <c r="K7" s="789"/>
      <c r="L7" s="789"/>
      <c r="M7" s="789">
        <v>0.34187757664931273</v>
      </c>
      <c r="N7" s="789"/>
      <c r="O7" s="789"/>
      <c r="P7" s="789">
        <v>0.10259764817988114</v>
      </c>
      <c r="Q7" s="789">
        <v>6.9690982871960183E-2</v>
      </c>
      <c r="R7" s="789">
        <v>0.65514792646765496</v>
      </c>
      <c r="S7" s="789">
        <v>5.7223496370079535E-2</v>
      </c>
      <c r="T7" s="789"/>
      <c r="U7" s="789">
        <v>8.5811869363019544E-2</v>
      </c>
      <c r="V7" s="790"/>
      <c r="W7" s="868">
        <v>2.0680000000000001</v>
      </c>
      <c r="X7" s="869">
        <v>0.85583503595037702</v>
      </c>
      <c r="Y7" s="870"/>
      <c r="Z7" s="854"/>
      <c r="AA7" s="871"/>
      <c r="AB7" s="855"/>
      <c r="AD7" s="872"/>
    </row>
    <row r="8" spans="1:30" ht="17.25" customHeight="1">
      <c r="A8" s="785">
        <v>4</v>
      </c>
      <c r="B8" s="776" t="s">
        <v>1080</v>
      </c>
      <c r="C8" s="873">
        <v>4.331503731942675</v>
      </c>
      <c r="D8" s="779">
        <v>4.331503731942675</v>
      </c>
      <c r="E8" s="867">
        <v>3.2087649557632165</v>
      </c>
      <c r="F8" s="867">
        <v>3.7418512861534539</v>
      </c>
      <c r="G8" s="789">
        <v>0.43995313653737689</v>
      </c>
      <c r="H8" s="789">
        <v>0.53308633039023745</v>
      </c>
      <c r="I8" s="789"/>
      <c r="J8" s="789">
        <v>9.4418445425759889E-2</v>
      </c>
      <c r="K8" s="789"/>
      <c r="L8" s="789"/>
      <c r="M8" s="789">
        <v>0.23228746931633001</v>
      </c>
      <c r="N8" s="789">
        <v>2.7843504892237005E-2</v>
      </c>
      <c r="O8" s="789">
        <v>1.6557424025723456E-2</v>
      </c>
      <c r="P8" s="789">
        <v>0.10974424639384156</v>
      </c>
      <c r="Q8" s="789">
        <v>0.40403147067097817</v>
      </c>
      <c r="R8" s="789">
        <v>1.4788456153053688</v>
      </c>
      <c r="S8" s="789">
        <v>0.40508364319559997</v>
      </c>
      <c r="T8" s="789"/>
      <c r="U8" s="789">
        <v>0.58965244578922138</v>
      </c>
      <c r="V8" s="790"/>
      <c r="W8" s="868">
        <v>3.3809999999999998</v>
      </c>
      <c r="X8" s="869">
        <v>1.2811309470401286</v>
      </c>
      <c r="Y8" s="870"/>
      <c r="Z8" s="854"/>
      <c r="AA8" s="871"/>
      <c r="AB8" s="855"/>
      <c r="AD8" s="872"/>
    </row>
    <row r="9" spans="1:30" ht="17.25" customHeight="1">
      <c r="A9" s="785">
        <v>5</v>
      </c>
      <c r="B9" s="776" t="s">
        <v>1081</v>
      </c>
      <c r="C9" s="873">
        <v>3.442969711336231</v>
      </c>
      <c r="D9" s="779">
        <v>3.442969711336231</v>
      </c>
      <c r="E9" s="867">
        <v>2.6152735097697661</v>
      </c>
      <c r="F9" s="867">
        <v>3.2140145539750122</v>
      </c>
      <c r="G9" s="789">
        <v>0.40587202165788289</v>
      </c>
      <c r="H9" s="789">
        <v>0.59874104420524599</v>
      </c>
      <c r="I9" s="789"/>
      <c r="J9" s="789">
        <v>6.6948429534180551E-2</v>
      </c>
      <c r="K9" s="789"/>
      <c r="L9" s="789"/>
      <c r="M9" s="789">
        <v>0.31739222074541951</v>
      </c>
      <c r="N9" s="789">
        <v>2.8836367337008454E-2</v>
      </c>
      <c r="O9" s="789">
        <v>9.5375272500778582E-3</v>
      </c>
      <c r="P9" s="789">
        <v>0.11365758062370607</v>
      </c>
      <c r="Q9" s="789">
        <v>0.30478047900103994</v>
      </c>
      <c r="R9" s="789">
        <v>1.1018666208212793</v>
      </c>
      <c r="S9" s="789">
        <v>0.26638226279917132</v>
      </c>
      <c r="T9" s="789"/>
      <c r="U9" s="789">
        <v>0.22895515736121858</v>
      </c>
      <c r="V9" s="790"/>
      <c r="W9" s="868">
        <v>3.024</v>
      </c>
      <c r="X9" s="869">
        <v>1.1385481849656849</v>
      </c>
      <c r="Y9" s="870"/>
      <c r="Z9" s="854"/>
      <c r="AA9" s="871"/>
      <c r="AB9" s="855"/>
      <c r="AD9" s="872"/>
    </row>
    <row r="10" spans="1:30" ht="17.25" customHeight="1">
      <c r="A10" s="785">
        <v>6</v>
      </c>
      <c r="B10" s="776" t="s">
        <v>1069</v>
      </c>
      <c r="C10" s="873">
        <v>4.3097014589199016</v>
      </c>
      <c r="D10" s="779">
        <v>4.3097014589199016</v>
      </c>
      <c r="E10" s="867">
        <v>3.071427804556953</v>
      </c>
      <c r="F10" s="867">
        <v>3.4420527906939524</v>
      </c>
      <c r="G10" s="789">
        <v>0.43616204435045369</v>
      </c>
      <c r="H10" s="789">
        <v>0.37062498613699957</v>
      </c>
      <c r="I10" s="789"/>
      <c r="J10" s="789">
        <v>9.0400345863822673E-2</v>
      </c>
      <c r="K10" s="789"/>
      <c r="L10" s="789"/>
      <c r="M10" s="789">
        <v>0.30142203864277706</v>
      </c>
      <c r="N10" s="789">
        <v>2.5505764129447748E-2</v>
      </c>
      <c r="O10" s="789">
        <v>8.4359419331735668E-3</v>
      </c>
      <c r="P10" s="789">
        <v>0.1191363954459369</v>
      </c>
      <c r="Q10" s="789">
        <v>0.3342864566240849</v>
      </c>
      <c r="R10" s="789">
        <v>1.3609972678889868</v>
      </c>
      <c r="S10" s="789">
        <v>0.39508154967826931</v>
      </c>
      <c r="T10" s="789"/>
      <c r="U10" s="789">
        <v>0.86764866822594933</v>
      </c>
      <c r="V10" s="790"/>
      <c r="W10" s="868">
        <v>3.5390000000000001</v>
      </c>
      <c r="X10" s="869">
        <v>1.2177737945521054</v>
      </c>
      <c r="Y10" s="870"/>
      <c r="Z10" s="854"/>
      <c r="AA10" s="871"/>
      <c r="AB10" s="855"/>
      <c r="AD10" s="872"/>
    </row>
    <row r="11" spans="1:30" ht="17.25" customHeight="1">
      <c r="A11" s="785">
        <v>7</v>
      </c>
      <c r="B11" s="776" t="s">
        <v>1070</v>
      </c>
      <c r="C11" s="873">
        <v>3.9094781926133084</v>
      </c>
      <c r="D11" s="779">
        <v>3.9094781926133084</v>
      </c>
      <c r="E11" s="867">
        <v>3.0743816716988182</v>
      </c>
      <c r="F11" s="867">
        <v>3.4491294925213909</v>
      </c>
      <c r="G11" s="789">
        <v>0.44268400617350578</v>
      </c>
      <c r="H11" s="789">
        <v>0.37474782082257269</v>
      </c>
      <c r="I11" s="789"/>
      <c r="J11" s="789">
        <v>8.9120378612305817E-2</v>
      </c>
      <c r="K11" s="789"/>
      <c r="L11" s="789"/>
      <c r="M11" s="789">
        <v>0.3708341709335336</v>
      </c>
      <c r="N11" s="789">
        <v>2.7229400240886385E-2</v>
      </c>
      <c r="O11" s="789">
        <v>9.0060285252168797E-3</v>
      </c>
      <c r="P11" s="789">
        <v>0.20123207508972216</v>
      </c>
      <c r="Q11" s="789">
        <v>0.34682459547243194</v>
      </c>
      <c r="R11" s="789">
        <v>1.5579410245077485</v>
      </c>
      <c r="S11" s="789">
        <v>2.9509992143467108E-2</v>
      </c>
      <c r="T11" s="789"/>
      <c r="U11" s="789">
        <v>0.46034870009191753</v>
      </c>
      <c r="V11" s="790"/>
      <c r="W11" s="868">
        <v>3.0379999999999998</v>
      </c>
      <c r="X11" s="869">
        <v>1.2868591812420371</v>
      </c>
      <c r="Y11" s="870"/>
      <c r="Z11" s="854"/>
      <c r="AA11" s="871"/>
      <c r="AB11" s="855"/>
      <c r="AD11" s="872"/>
    </row>
    <row r="12" spans="1:30" ht="17.25" customHeight="1">
      <c r="A12" s="785">
        <v>8</v>
      </c>
      <c r="B12" s="776" t="s">
        <v>1071</v>
      </c>
      <c r="C12" s="873">
        <v>4.5734261055859946</v>
      </c>
      <c r="D12" s="797">
        <v>4.5734261055859946</v>
      </c>
      <c r="E12" s="867">
        <v>2.8535431118384569</v>
      </c>
      <c r="F12" s="867">
        <v>3.3548669165597258</v>
      </c>
      <c r="G12" s="789">
        <v>0.38142790756428568</v>
      </c>
      <c r="H12" s="789">
        <v>0.50132380472126892</v>
      </c>
      <c r="I12" s="789"/>
      <c r="J12" s="789">
        <v>9.7839901266440668E-2</v>
      </c>
      <c r="K12" s="789"/>
      <c r="L12" s="789"/>
      <c r="M12" s="789">
        <v>0.28186519679373945</v>
      </c>
      <c r="N12" s="789">
        <v>3.2678163232445441E-2</v>
      </c>
      <c r="O12" s="789">
        <v>1.0808187753661548E-2</v>
      </c>
      <c r="P12" s="789">
        <v>0.19319983662399162</v>
      </c>
      <c r="Q12" s="789">
        <v>0.37225775057987526</v>
      </c>
      <c r="R12" s="789">
        <v>1.4139927509189403</v>
      </c>
      <c r="S12" s="789">
        <v>6.9473417105076513E-2</v>
      </c>
      <c r="T12" s="789"/>
      <c r="U12" s="789">
        <v>1.2185591890262693</v>
      </c>
      <c r="V12" s="790"/>
      <c r="W12" s="868">
        <v>3.8210000000000002</v>
      </c>
      <c r="X12" s="869">
        <v>1.1969186353273997</v>
      </c>
      <c r="Y12" s="870"/>
      <c r="Z12" s="854"/>
      <c r="AA12" s="871"/>
      <c r="AB12" s="855"/>
      <c r="AD12" s="872"/>
    </row>
    <row r="13" spans="1:30" ht="17.25" customHeight="1">
      <c r="A13" s="785">
        <v>9</v>
      </c>
      <c r="B13" s="776" t="s">
        <v>1082</v>
      </c>
      <c r="C13" s="873">
        <v>3.4525151066387001</v>
      </c>
      <c r="D13" s="779">
        <v>3.4525151066387001</v>
      </c>
      <c r="E13" s="867">
        <v>2.6351398481393344</v>
      </c>
      <c r="F13" s="867">
        <v>3.1065460559963682</v>
      </c>
      <c r="G13" s="789">
        <v>0.56072920639482049</v>
      </c>
      <c r="H13" s="789">
        <v>0.47140620785703385</v>
      </c>
      <c r="I13" s="789"/>
      <c r="J13" s="789">
        <v>9.7539683464346993E-2</v>
      </c>
      <c r="K13" s="789"/>
      <c r="L13" s="789"/>
      <c r="M13" s="789">
        <v>0.11036129929420826</v>
      </c>
      <c r="N13" s="789">
        <v>2.8872334118844448E-2</v>
      </c>
      <c r="O13" s="789">
        <v>9.5494231368880578E-3</v>
      </c>
      <c r="P13" s="789">
        <v>0.13276589957795656</v>
      </c>
      <c r="Q13" s="789">
        <v>0.26662646129181405</v>
      </c>
      <c r="R13" s="789">
        <v>1.0788105285602383</v>
      </c>
      <c r="S13" s="789">
        <v>0.34988501230021729</v>
      </c>
      <c r="T13" s="789"/>
      <c r="U13" s="789">
        <v>0.34596905064233197</v>
      </c>
      <c r="V13" s="790"/>
      <c r="W13" s="868">
        <v>2.931</v>
      </c>
      <c r="X13" s="869">
        <v>1.1779307767446947</v>
      </c>
      <c r="Y13" s="870"/>
      <c r="Z13" s="854"/>
      <c r="AA13" s="871"/>
      <c r="AB13" s="855"/>
      <c r="AD13" s="872"/>
    </row>
    <row r="14" spans="1:30" ht="17.25" customHeight="1">
      <c r="A14" s="785">
        <v>10</v>
      </c>
      <c r="B14" s="776" t="s">
        <v>1072</v>
      </c>
      <c r="C14" s="873">
        <v>4.3861016766392718</v>
      </c>
      <c r="D14" s="779">
        <v>4.3861016766392718</v>
      </c>
      <c r="E14" s="867">
        <v>3.3153643268176896</v>
      </c>
      <c r="F14" s="867">
        <v>3.8048112495817041</v>
      </c>
      <c r="G14" s="789">
        <v>0.50244043030105823</v>
      </c>
      <c r="H14" s="789">
        <v>0.48944692276401458</v>
      </c>
      <c r="I14" s="789"/>
      <c r="J14" s="789">
        <v>9.9388296974835699E-2</v>
      </c>
      <c r="K14" s="789"/>
      <c r="L14" s="789"/>
      <c r="M14" s="789">
        <v>0.26155311867650638</v>
      </c>
      <c r="N14" s="789">
        <v>3.7085641541657818E-2</v>
      </c>
      <c r="O14" s="789">
        <v>1.2265945729448282E-2</v>
      </c>
      <c r="P14" s="789">
        <v>0.17793310785986205</v>
      </c>
      <c r="Q14" s="789">
        <v>0.36062816942483888</v>
      </c>
      <c r="R14" s="789">
        <v>1.4586028100800732</v>
      </c>
      <c r="S14" s="789">
        <v>0.40546680622940928</v>
      </c>
      <c r="T14" s="789"/>
      <c r="U14" s="789">
        <v>0.5812904270575675</v>
      </c>
      <c r="V14" s="790"/>
      <c r="W14" s="868">
        <v>3.423</v>
      </c>
      <c r="X14" s="869">
        <v>1.2813618687231294</v>
      </c>
      <c r="Y14" s="870"/>
      <c r="Z14" s="854"/>
      <c r="AA14" s="871"/>
      <c r="AB14" s="855"/>
      <c r="AD14" s="872"/>
    </row>
    <row r="15" spans="1:30" ht="17.25" customHeight="1">
      <c r="A15" s="785">
        <v>11</v>
      </c>
      <c r="B15" s="776" t="s">
        <v>1073</v>
      </c>
      <c r="C15" s="873">
        <v>4.6843107001604691</v>
      </c>
      <c r="D15" s="797">
        <v>4.6843107001604691</v>
      </c>
      <c r="E15" s="867">
        <v>3.8375888857187324</v>
      </c>
      <c r="F15" s="867">
        <v>4.3269766957545688</v>
      </c>
      <c r="G15" s="789">
        <v>0.7680419778206814</v>
      </c>
      <c r="H15" s="789">
        <v>0.48938781003583642</v>
      </c>
      <c r="I15" s="789"/>
      <c r="J15" s="789">
        <v>9.9935745118905808E-2</v>
      </c>
      <c r="K15" s="789"/>
      <c r="L15" s="789"/>
      <c r="M15" s="789">
        <v>0.37064982946193514</v>
      </c>
      <c r="N15" s="789">
        <v>2.4169557692282472E-2</v>
      </c>
      <c r="O15" s="789">
        <v>7.9939963456016703E-3</v>
      </c>
      <c r="P15" s="789">
        <v>0.10796530676944646</v>
      </c>
      <c r="Q15" s="789">
        <v>0.30131069934347071</v>
      </c>
      <c r="R15" s="789">
        <v>1.7323116777678127</v>
      </c>
      <c r="S15" s="789">
        <v>0.42521009539859583</v>
      </c>
      <c r="T15" s="789"/>
      <c r="U15" s="789">
        <v>0.35733400440590041</v>
      </c>
      <c r="V15" s="790"/>
      <c r="W15" s="868">
        <v>3.5910000000000002</v>
      </c>
      <c r="X15" s="869">
        <v>1.3044585631190388</v>
      </c>
      <c r="Y15" s="870"/>
      <c r="Z15" s="854"/>
      <c r="AA15" s="871"/>
      <c r="AB15" s="855"/>
      <c r="AD15" s="872"/>
    </row>
    <row r="16" spans="1:30" ht="17.25" customHeight="1">
      <c r="A16" s="785">
        <v>12</v>
      </c>
      <c r="B16" s="776" t="s">
        <v>1074</v>
      </c>
      <c r="C16" s="873">
        <v>3.5308827000828851</v>
      </c>
      <c r="D16" s="779">
        <v>3.5308827000828851</v>
      </c>
      <c r="E16" s="867">
        <v>2.6404752677550989</v>
      </c>
      <c r="F16" s="867">
        <v>3.1427201751520508</v>
      </c>
      <c r="G16" s="789">
        <v>0.42248949200911839</v>
      </c>
      <c r="H16" s="789">
        <v>0.50224490739695193</v>
      </c>
      <c r="I16" s="789"/>
      <c r="J16" s="789">
        <v>1.1770406046001882E-2</v>
      </c>
      <c r="K16" s="789"/>
      <c r="L16" s="789"/>
      <c r="M16" s="789">
        <v>0.59726884124113633</v>
      </c>
      <c r="N16" s="789">
        <v>2.8704065819063221E-2</v>
      </c>
      <c r="O16" s="789">
        <v>9.4937689875379747E-3</v>
      </c>
      <c r="P16" s="789">
        <v>0.13461278531347035</v>
      </c>
      <c r="Q16" s="789">
        <v>0.28256870959898661</v>
      </c>
      <c r="R16" s="789">
        <v>0.9765598650016093</v>
      </c>
      <c r="S16" s="789">
        <v>0.17700733373817476</v>
      </c>
      <c r="T16" s="789"/>
      <c r="U16" s="789">
        <v>0.38816252493083425</v>
      </c>
      <c r="V16" s="790"/>
      <c r="W16" s="868">
        <v>3.085</v>
      </c>
      <c r="X16" s="869">
        <v>1.1445324797675478</v>
      </c>
      <c r="Y16" s="870"/>
      <c r="Z16" s="854"/>
      <c r="AA16" s="871"/>
      <c r="AB16" s="855"/>
      <c r="AD16" s="872"/>
    </row>
    <row r="17" spans="1:30" ht="17.25" customHeight="1">
      <c r="A17" s="785">
        <v>13</v>
      </c>
      <c r="B17" s="776" t="s">
        <v>1083</v>
      </c>
      <c r="C17" s="873">
        <v>3.7089612539207453</v>
      </c>
      <c r="D17" s="779">
        <v>3.7089612539207453</v>
      </c>
      <c r="E17" s="867">
        <v>2.4563463787412241</v>
      </c>
      <c r="F17" s="867">
        <v>3.384231389180917</v>
      </c>
      <c r="G17" s="789">
        <v>0.6777906716405564</v>
      </c>
      <c r="H17" s="789">
        <v>0.92788501043969285</v>
      </c>
      <c r="I17" s="789"/>
      <c r="J17" s="789"/>
      <c r="K17" s="789"/>
      <c r="L17" s="789"/>
      <c r="M17" s="789">
        <v>0.20714598366328651</v>
      </c>
      <c r="N17" s="789"/>
      <c r="O17" s="789"/>
      <c r="P17" s="789"/>
      <c r="Q17" s="789">
        <v>0.58037840663298834</v>
      </c>
      <c r="R17" s="789">
        <v>0.76030642496985601</v>
      </c>
      <c r="S17" s="789">
        <v>0.23072489183453695</v>
      </c>
      <c r="T17" s="789"/>
      <c r="U17" s="789">
        <v>0.32472986473982812</v>
      </c>
      <c r="V17" s="790"/>
      <c r="W17" s="868">
        <v>3.4529999999999998</v>
      </c>
      <c r="X17" s="869">
        <v>1.0741272093601928</v>
      </c>
      <c r="Y17" s="870"/>
      <c r="Z17" s="854"/>
      <c r="AA17" s="871"/>
      <c r="AB17" s="855"/>
      <c r="AD17" s="872"/>
    </row>
    <row r="18" spans="1:30" ht="17.25" customHeight="1">
      <c r="A18" s="785">
        <v>14</v>
      </c>
      <c r="B18" s="776" t="s">
        <v>1075</v>
      </c>
      <c r="C18" s="873">
        <v>3.5766883376241436</v>
      </c>
      <c r="D18" s="797">
        <v>4.5307831371462273</v>
      </c>
      <c r="E18" s="874">
        <v>2.4839480991692171</v>
      </c>
      <c r="F18" s="874">
        <v>3.2283288599632112</v>
      </c>
      <c r="G18" s="798">
        <v>0.49476822970283224</v>
      </c>
      <c r="H18" s="798">
        <v>0.74438076079399396</v>
      </c>
      <c r="I18" s="798"/>
      <c r="J18" s="798">
        <v>6.7460410259133102E-2</v>
      </c>
      <c r="K18" s="798">
        <v>0.44406922174201729</v>
      </c>
      <c r="L18" s="798"/>
      <c r="M18" s="798">
        <v>0.23592923704016625</v>
      </c>
      <c r="N18" s="789">
        <v>1.8467007482874779E-2</v>
      </c>
      <c r="O18" s="789">
        <v>6.1078978859194256E-3</v>
      </c>
      <c r="P18" s="789">
        <v>8.0065803853408876E-2</v>
      </c>
      <c r="Q18" s="789">
        <v>0.27010090487198607</v>
      </c>
      <c r="R18" s="789">
        <v>1.0585488203220423</v>
      </c>
      <c r="S18" s="789">
        <v>0.25249978775085458</v>
      </c>
      <c r="T18" s="789"/>
      <c r="U18" s="789">
        <v>0.34835947766093234</v>
      </c>
      <c r="V18" s="790">
        <v>0.5100255777800663</v>
      </c>
      <c r="W18" s="868">
        <v>3.875</v>
      </c>
      <c r="X18" s="869">
        <v>1.1692343579732198</v>
      </c>
      <c r="Y18" s="870"/>
      <c r="Z18" s="854"/>
      <c r="AA18" s="871"/>
      <c r="AB18" s="855"/>
      <c r="AD18" s="872"/>
    </row>
    <row r="19" spans="1:30" ht="17.25" customHeight="1">
      <c r="A19" s="785">
        <v>15</v>
      </c>
      <c r="B19" s="776" t="s">
        <v>1076</v>
      </c>
      <c r="C19" s="873">
        <v>4.5639095378336387</v>
      </c>
      <c r="D19" s="797">
        <v>5.1786904718674043</v>
      </c>
      <c r="E19" s="874">
        <v>2.5958892072055653</v>
      </c>
      <c r="F19" s="874">
        <v>3.358340214668341</v>
      </c>
      <c r="G19" s="798">
        <v>0.47359646318611581</v>
      </c>
      <c r="H19" s="798">
        <v>0.76245100746277583</v>
      </c>
      <c r="I19" s="798"/>
      <c r="J19" s="798">
        <v>6.1612084106371687E-2</v>
      </c>
      <c r="K19" s="798">
        <v>0.18586197327636214</v>
      </c>
      <c r="L19" s="798"/>
      <c r="M19" s="798">
        <v>0.19170211924274544</v>
      </c>
      <c r="N19" s="789"/>
      <c r="O19" s="789"/>
      <c r="P19" s="789">
        <v>0.13423426455227111</v>
      </c>
      <c r="Q19" s="789">
        <v>0.2123185774166759</v>
      </c>
      <c r="R19" s="789">
        <v>1.1418365522884286</v>
      </c>
      <c r="S19" s="789">
        <v>0.38058914641295583</v>
      </c>
      <c r="T19" s="789"/>
      <c r="U19" s="789">
        <v>1.2055693231652975</v>
      </c>
      <c r="V19" s="790">
        <v>0.42891896075740338</v>
      </c>
      <c r="W19" s="868">
        <v>3.7290000000000001</v>
      </c>
      <c r="X19" s="869">
        <v>1.3887611884868341</v>
      </c>
      <c r="Y19" s="870"/>
      <c r="Z19" s="854"/>
      <c r="AA19" s="871"/>
      <c r="AB19" s="855"/>
      <c r="AD19" s="872"/>
    </row>
    <row r="20" spans="1:30" ht="17.25" customHeight="1">
      <c r="A20" s="785">
        <v>16</v>
      </c>
      <c r="B20" s="776" t="s">
        <v>1077</v>
      </c>
      <c r="C20" s="873">
        <v>4.4772346959038343</v>
      </c>
      <c r="D20" s="797">
        <v>5.1156111442125933</v>
      </c>
      <c r="E20" s="874">
        <v>2.9523403475572891</v>
      </c>
      <c r="F20" s="874">
        <v>3.3834241778521212</v>
      </c>
      <c r="G20" s="798">
        <v>0.53989763954291514</v>
      </c>
      <c r="H20" s="798">
        <v>0.4310838302948321</v>
      </c>
      <c r="I20" s="798"/>
      <c r="J20" s="798">
        <v>5.7596277153592272E-2</v>
      </c>
      <c r="K20" s="798">
        <v>0.3417041868735804</v>
      </c>
      <c r="L20" s="798"/>
      <c r="M20" s="798">
        <v>0.4728066733126205</v>
      </c>
      <c r="N20" s="789">
        <v>1.5144516767931658E-2</v>
      </c>
      <c r="O20" s="789">
        <v>5.0089957474648344E-3</v>
      </c>
      <c r="P20" s="789">
        <v>0.23727414184597845</v>
      </c>
      <c r="Q20" s="789">
        <v>0.33010832192432654</v>
      </c>
      <c r="R20" s="789">
        <v>0.89988629567463119</v>
      </c>
      <c r="S20" s="789">
        <v>0.39461748558782889</v>
      </c>
      <c r="T20" s="789"/>
      <c r="U20" s="789">
        <v>1.0938105180517133</v>
      </c>
      <c r="V20" s="790">
        <v>0.29667226143517839</v>
      </c>
      <c r="W20" s="868">
        <v>4.1790000000000003</v>
      </c>
      <c r="X20" s="869">
        <v>1.2241232697326139</v>
      </c>
      <c r="Y20" s="870"/>
      <c r="Z20" s="854"/>
      <c r="AA20" s="871"/>
      <c r="AB20" s="855"/>
      <c r="AD20" s="872"/>
    </row>
    <row r="21" spans="1:30" ht="15">
      <c r="A21" s="787"/>
      <c r="V21" s="854"/>
      <c r="W21" s="778"/>
      <c r="X21" s="854"/>
      <c r="Y21" s="854"/>
      <c r="AA21" s="875"/>
    </row>
    <row r="22" spans="1:30">
      <c r="A22" s="787"/>
      <c r="V22" s="854"/>
      <c r="X22" s="854"/>
      <c r="Y22" s="854"/>
    </row>
    <row r="23" spans="1:30">
      <c r="A23" s="787"/>
      <c r="V23" s="854"/>
      <c r="X23" s="854"/>
      <c r="Y23" s="854"/>
    </row>
    <row r="24" spans="1:30">
      <c r="A24" s="787"/>
      <c r="V24" s="854"/>
      <c r="X24" s="854"/>
      <c r="Y24" s="854"/>
    </row>
    <row r="25" spans="1:30">
      <c r="A25" s="787"/>
      <c r="V25" s="854"/>
      <c r="X25" s="854"/>
      <c r="Y25" s="854"/>
    </row>
    <row r="26" spans="1:30">
      <c r="A26" s="787"/>
      <c r="V26" s="854"/>
      <c r="X26" s="854"/>
      <c r="Y26" s="854"/>
    </row>
    <row r="27" spans="1:30">
      <c r="A27" s="787"/>
      <c r="V27" s="854"/>
      <c r="X27" s="854"/>
      <c r="Y27" s="854"/>
    </row>
    <row r="28" spans="1:30">
      <c r="A28" s="787"/>
      <c r="V28" s="854"/>
      <c r="X28" s="854"/>
      <c r="Y28" s="854"/>
    </row>
    <row r="29" spans="1:30">
      <c r="A29" s="787"/>
      <c r="B29" s="777"/>
      <c r="C29" s="777"/>
      <c r="D29" s="777"/>
      <c r="E29" s="777"/>
      <c r="H29" s="777"/>
      <c r="V29" s="854"/>
      <c r="X29" s="854"/>
      <c r="Y29" s="854"/>
    </row>
    <row r="30" spans="1:30">
      <c r="A30" s="787"/>
      <c r="B30" s="777"/>
      <c r="C30" s="777"/>
      <c r="D30" s="777"/>
      <c r="E30" s="777"/>
      <c r="H30" s="777"/>
      <c r="V30" s="854"/>
      <c r="X30" s="854"/>
      <c r="Y30" s="854"/>
    </row>
    <row r="31" spans="1:30">
      <c r="A31" s="787"/>
      <c r="B31" s="777"/>
      <c r="C31" s="777"/>
      <c r="D31" s="777"/>
      <c r="E31" s="777"/>
      <c r="H31" s="777"/>
      <c r="V31" s="854"/>
      <c r="X31" s="854"/>
      <c r="Y31" s="854"/>
    </row>
    <row r="32" spans="1:30">
      <c r="A32" s="787"/>
      <c r="B32" s="777"/>
      <c r="C32" s="777"/>
      <c r="D32" s="777"/>
      <c r="E32" s="777"/>
      <c r="H32" s="777"/>
      <c r="V32" s="854"/>
      <c r="X32" s="854"/>
      <c r="Y32" s="854"/>
    </row>
    <row r="33" spans="1:25">
      <c r="A33" s="787"/>
      <c r="B33" s="777"/>
      <c r="C33" s="777"/>
      <c r="D33" s="777"/>
      <c r="E33" s="777"/>
      <c r="H33" s="777"/>
      <c r="V33" s="854"/>
      <c r="X33" s="854"/>
      <c r="Y33" s="854"/>
    </row>
    <row r="34" spans="1:25">
      <c r="A34" s="787"/>
      <c r="B34" s="777"/>
      <c r="C34" s="777"/>
      <c r="D34" s="777"/>
      <c r="E34" s="777"/>
      <c r="H34" s="777"/>
      <c r="V34" s="854"/>
      <c r="X34" s="854"/>
      <c r="Y34" s="854"/>
    </row>
    <row r="35" spans="1:25">
      <c r="A35" s="787"/>
      <c r="B35" s="777"/>
      <c r="C35" s="777"/>
      <c r="D35" s="777"/>
      <c r="E35" s="777"/>
      <c r="H35" s="777"/>
      <c r="V35" s="854"/>
      <c r="X35" s="854"/>
      <c r="Y35" s="854"/>
    </row>
    <row r="36" spans="1:25">
      <c r="A36" s="787"/>
      <c r="B36" s="777"/>
      <c r="C36" s="777"/>
      <c r="D36" s="777"/>
      <c r="E36" s="777"/>
      <c r="H36" s="777"/>
      <c r="V36" s="854"/>
      <c r="X36" s="854"/>
      <c r="Y36" s="854"/>
    </row>
    <row r="37" spans="1:25">
      <c r="A37" s="787"/>
      <c r="B37" s="777"/>
      <c r="C37" s="777"/>
      <c r="D37" s="777"/>
      <c r="E37" s="777"/>
      <c r="H37" s="777"/>
      <c r="V37" s="854"/>
      <c r="X37" s="854"/>
      <c r="Y37" s="854"/>
    </row>
    <row r="38" spans="1:25">
      <c r="A38" s="787"/>
      <c r="B38" s="777"/>
      <c r="C38" s="777"/>
      <c r="D38" s="777"/>
      <c r="E38" s="777"/>
      <c r="H38" s="777"/>
      <c r="V38" s="854"/>
      <c r="X38" s="854"/>
      <c r="Y38" s="854"/>
    </row>
    <row r="39" spans="1:25">
      <c r="A39" s="787"/>
      <c r="B39" s="777"/>
      <c r="C39" s="777"/>
      <c r="D39" s="777"/>
      <c r="E39" s="777"/>
      <c r="H39" s="777"/>
      <c r="V39" s="854"/>
      <c r="X39" s="854"/>
      <c r="Y39" s="854"/>
    </row>
    <row r="40" spans="1:25">
      <c r="A40" s="787"/>
      <c r="B40" s="777"/>
      <c r="C40" s="777"/>
      <c r="D40" s="777"/>
      <c r="E40" s="777"/>
      <c r="H40" s="777"/>
      <c r="V40" s="854"/>
      <c r="X40" s="854"/>
      <c r="Y40" s="854"/>
    </row>
    <row r="41" spans="1:25">
      <c r="A41" s="787"/>
      <c r="B41" s="777"/>
      <c r="C41" s="777"/>
      <c r="D41" s="777"/>
      <c r="E41" s="777"/>
      <c r="H41" s="777"/>
      <c r="V41" s="854"/>
      <c r="X41" s="854"/>
      <c r="Y41" s="854"/>
    </row>
    <row r="42" spans="1:25">
      <c r="A42" s="787"/>
      <c r="B42" s="777"/>
      <c r="C42" s="777"/>
      <c r="D42" s="777"/>
      <c r="E42" s="777"/>
      <c r="H42" s="777"/>
      <c r="V42" s="854"/>
      <c r="X42" s="854"/>
      <c r="Y42" s="854"/>
    </row>
    <row r="43" spans="1:25">
      <c r="A43" s="787"/>
      <c r="B43" s="777"/>
      <c r="C43" s="777"/>
      <c r="D43" s="777"/>
      <c r="E43" s="777"/>
      <c r="H43" s="777"/>
      <c r="V43" s="854"/>
      <c r="X43" s="854"/>
      <c r="Y43" s="854"/>
    </row>
    <row r="44" spans="1:25">
      <c r="A44" s="787"/>
      <c r="B44" s="777"/>
      <c r="C44" s="777"/>
      <c r="D44" s="777"/>
      <c r="E44" s="777"/>
      <c r="H44" s="777"/>
      <c r="V44" s="854"/>
      <c r="X44" s="854"/>
      <c r="Y44" s="854"/>
    </row>
    <row r="45" spans="1:25">
      <c r="A45" s="787"/>
      <c r="B45" s="777"/>
      <c r="C45" s="777"/>
      <c r="D45" s="777"/>
      <c r="E45" s="777"/>
      <c r="H45" s="777"/>
      <c r="V45" s="854"/>
      <c r="X45" s="854"/>
      <c r="Y45" s="854"/>
    </row>
    <row r="46" spans="1:25">
      <c r="A46" s="787"/>
      <c r="B46" s="777"/>
      <c r="C46" s="777"/>
      <c r="D46" s="777"/>
      <c r="E46" s="777"/>
      <c r="H46" s="777"/>
      <c r="V46" s="854"/>
      <c r="X46" s="854"/>
      <c r="Y46" s="854"/>
    </row>
    <row r="47" spans="1:25">
      <c r="A47" s="787"/>
      <c r="B47" s="777"/>
      <c r="C47" s="777"/>
      <c r="D47" s="777"/>
      <c r="E47" s="777"/>
      <c r="H47" s="777"/>
      <c r="V47" s="854"/>
      <c r="X47" s="854"/>
      <c r="Y47" s="854"/>
    </row>
    <row r="48" spans="1:25">
      <c r="A48" s="787"/>
      <c r="B48" s="777"/>
      <c r="C48" s="777"/>
      <c r="D48" s="777"/>
      <c r="E48" s="777"/>
      <c r="H48" s="777"/>
      <c r="V48" s="854"/>
      <c r="X48" s="854"/>
      <c r="Y48" s="854"/>
    </row>
    <row r="49" spans="1:25">
      <c r="B49" s="777"/>
      <c r="C49" s="777"/>
      <c r="D49" s="777"/>
      <c r="E49" s="777"/>
      <c r="H49" s="777"/>
      <c r="V49" s="854"/>
      <c r="X49" s="854"/>
      <c r="Y49" s="854"/>
    </row>
    <row r="50" spans="1:25">
      <c r="B50" s="777"/>
      <c r="C50" s="777"/>
      <c r="D50" s="777"/>
      <c r="E50" s="777"/>
      <c r="H50" s="777"/>
      <c r="V50" s="854"/>
      <c r="X50" s="854"/>
      <c r="Y50" s="854"/>
    </row>
    <row r="51" spans="1:25">
      <c r="B51" s="777"/>
      <c r="C51" s="777"/>
      <c r="D51" s="777"/>
      <c r="E51" s="777"/>
      <c r="H51" s="777"/>
      <c r="V51" s="854"/>
      <c r="X51" s="854"/>
      <c r="Y51" s="854"/>
    </row>
    <row r="52" spans="1:25">
      <c r="B52" s="777"/>
      <c r="C52" s="777"/>
      <c r="D52" s="777"/>
      <c r="E52" s="777"/>
      <c r="H52" s="777"/>
      <c r="V52" s="854"/>
      <c r="X52" s="854"/>
      <c r="Y52" s="854"/>
    </row>
    <row r="53" spans="1:25">
      <c r="B53" s="777"/>
      <c r="C53" s="777"/>
      <c r="D53" s="777"/>
      <c r="E53" s="777"/>
      <c r="H53" s="777"/>
      <c r="V53" s="854"/>
      <c r="X53" s="854"/>
      <c r="Y53" s="854"/>
    </row>
    <row r="54" spans="1:25">
      <c r="B54" s="777"/>
      <c r="C54" s="777"/>
      <c r="D54" s="777"/>
      <c r="E54" s="777"/>
      <c r="H54" s="777"/>
      <c r="V54" s="854"/>
      <c r="X54" s="854"/>
      <c r="Y54" s="854"/>
    </row>
    <row r="55" spans="1:25">
      <c r="B55" s="777"/>
      <c r="C55" s="777"/>
      <c r="D55" s="777"/>
      <c r="E55" s="777"/>
      <c r="H55" s="777"/>
      <c r="V55" s="854"/>
      <c r="X55" s="854"/>
      <c r="Y55" s="854"/>
    </row>
    <row r="56" spans="1:25">
      <c r="B56" s="777"/>
      <c r="C56" s="777"/>
      <c r="D56" s="777"/>
      <c r="E56" s="777"/>
      <c r="H56" s="777"/>
      <c r="V56" s="854"/>
      <c r="X56" s="854"/>
      <c r="Y56" s="854"/>
    </row>
    <row r="57" spans="1:25">
      <c r="B57" s="777"/>
      <c r="C57" s="777"/>
      <c r="D57" s="777"/>
      <c r="E57" s="777"/>
      <c r="H57" s="777"/>
      <c r="V57" s="854"/>
      <c r="X57" s="854"/>
      <c r="Y57" s="854"/>
    </row>
    <row r="58" spans="1:25">
      <c r="B58" s="777"/>
      <c r="C58" s="777"/>
      <c r="D58" s="777"/>
      <c r="E58" s="777"/>
      <c r="H58" s="777"/>
      <c r="V58" s="854"/>
      <c r="X58" s="854"/>
      <c r="Y58" s="854"/>
    </row>
    <row r="59" spans="1:25">
      <c r="B59" s="777"/>
      <c r="C59" s="777"/>
      <c r="D59" s="777"/>
      <c r="E59" s="777"/>
      <c r="H59" s="777"/>
      <c r="V59" s="854"/>
      <c r="X59" s="854"/>
      <c r="Y59" s="854"/>
    </row>
    <row r="60" spans="1:25">
      <c r="B60" s="777"/>
      <c r="C60" s="777"/>
      <c r="D60" s="777"/>
      <c r="E60" s="777"/>
      <c r="H60" s="777"/>
      <c r="V60" s="854"/>
      <c r="X60" s="854"/>
      <c r="Y60" s="854"/>
    </row>
    <row r="61" spans="1:25">
      <c r="B61" s="777"/>
      <c r="C61" s="777"/>
      <c r="D61" s="777"/>
      <c r="E61" s="777"/>
      <c r="H61" s="777"/>
      <c r="V61" s="854"/>
      <c r="X61" s="854"/>
      <c r="Y61" s="854"/>
    </row>
    <row r="62" spans="1:25">
      <c r="B62" s="777"/>
      <c r="C62" s="777"/>
      <c r="D62" s="777"/>
      <c r="E62" s="777"/>
      <c r="H62" s="777"/>
      <c r="V62" s="854"/>
      <c r="X62" s="854"/>
      <c r="Y62" s="854"/>
    </row>
    <row r="63" spans="1:25">
      <c r="B63" s="777"/>
      <c r="C63" s="777"/>
      <c r="D63" s="777"/>
      <c r="E63" s="777"/>
      <c r="H63" s="777"/>
      <c r="V63" s="854"/>
      <c r="X63" s="854"/>
      <c r="Y63" s="854"/>
    </row>
    <row r="64" spans="1:25">
      <c r="A64" s="777"/>
      <c r="B64" s="777"/>
      <c r="C64" s="777"/>
      <c r="D64" s="777"/>
      <c r="E64" s="777"/>
      <c r="H64" s="777"/>
      <c r="V64" s="854"/>
      <c r="X64" s="854"/>
      <c r="Y64" s="854"/>
    </row>
    <row r="65" spans="1:25">
      <c r="A65" s="777"/>
      <c r="B65" s="777"/>
      <c r="C65" s="777"/>
      <c r="D65" s="777"/>
      <c r="E65" s="777"/>
      <c r="H65" s="777"/>
      <c r="V65" s="854"/>
      <c r="X65" s="854"/>
      <c r="Y65" s="854"/>
    </row>
    <row r="66" spans="1:25">
      <c r="A66" s="777"/>
      <c r="B66" s="777"/>
      <c r="C66" s="777"/>
      <c r="D66" s="777"/>
      <c r="E66" s="777"/>
      <c r="H66" s="777"/>
      <c r="V66" s="854"/>
      <c r="X66" s="854"/>
      <c r="Y66" s="854"/>
    </row>
    <row r="67" spans="1:25">
      <c r="A67" s="777"/>
      <c r="B67" s="777"/>
      <c r="C67" s="777"/>
      <c r="D67" s="777"/>
      <c r="E67" s="777"/>
      <c r="H67" s="777"/>
      <c r="V67" s="854"/>
      <c r="X67" s="854"/>
      <c r="Y67" s="854"/>
    </row>
    <row r="68" spans="1:25">
      <c r="A68" s="777"/>
      <c r="B68" s="777"/>
      <c r="C68" s="777"/>
      <c r="D68" s="777"/>
      <c r="E68" s="777"/>
      <c r="H68" s="777"/>
      <c r="V68" s="854"/>
      <c r="X68" s="854"/>
      <c r="Y68" s="854"/>
    </row>
    <row r="69" spans="1:25">
      <c r="A69" s="777"/>
      <c r="B69" s="777"/>
      <c r="C69" s="777"/>
      <c r="D69" s="777"/>
      <c r="E69" s="777"/>
      <c r="H69" s="777"/>
      <c r="V69" s="854"/>
      <c r="X69" s="854"/>
      <c r="Y69" s="854"/>
    </row>
    <row r="70" spans="1:25">
      <c r="A70" s="777"/>
      <c r="B70" s="777"/>
      <c r="C70" s="777"/>
      <c r="D70" s="777"/>
      <c r="E70" s="777"/>
      <c r="H70" s="777"/>
      <c r="V70" s="854"/>
      <c r="X70" s="854"/>
      <c r="Y70" s="854"/>
    </row>
    <row r="71" spans="1:25">
      <c r="A71" s="777"/>
      <c r="B71" s="777"/>
      <c r="C71" s="777"/>
      <c r="D71" s="777"/>
      <c r="E71" s="777"/>
      <c r="H71" s="777"/>
      <c r="V71" s="854"/>
      <c r="X71" s="854"/>
      <c r="Y71" s="854"/>
    </row>
    <row r="72" spans="1:25">
      <c r="A72" s="777"/>
      <c r="B72" s="777"/>
      <c r="C72" s="777"/>
      <c r="D72" s="777"/>
      <c r="E72" s="777"/>
      <c r="H72" s="777"/>
      <c r="V72" s="854"/>
      <c r="X72" s="854"/>
      <c r="Y72" s="854"/>
    </row>
    <row r="73" spans="1:25">
      <c r="A73" s="777"/>
      <c r="B73" s="777"/>
      <c r="C73" s="777"/>
      <c r="D73" s="777"/>
      <c r="E73" s="777"/>
      <c r="H73" s="777"/>
      <c r="V73" s="854"/>
      <c r="X73" s="854"/>
      <c r="Y73" s="854"/>
    </row>
    <row r="74" spans="1:25">
      <c r="A74" s="777"/>
      <c r="B74" s="777"/>
      <c r="C74" s="777"/>
      <c r="D74" s="777"/>
      <c r="E74" s="777"/>
      <c r="H74" s="777"/>
      <c r="V74" s="854"/>
      <c r="X74" s="854"/>
      <c r="Y74" s="854"/>
    </row>
    <row r="75" spans="1:25">
      <c r="A75" s="777"/>
      <c r="B75" s="777"/>
      <c r="C75" s="777"/>
      <c r="D75" s="777"/>
      <c r="E75" s="777"/>
      <c r="H75" s="777"/>
      <c r="V75" s="854"/>
      <c r="X75" s="854"/>
      <c r="Y75" s="854"/>
    </row>
    <row r="76" spans="1:25">
      <c r="A76" s="777"/>
      <c r="B76" s="777"/>
      <c r="C76" s="777"/>
      <c r="D76" s="777"/>
      <c r="E76" s="777"/>
      <c r="H76" s="777"/>
      <c r="V76" s="854"/>
      <c r="X76" s="854"/>
      <c r="Y76" s="854"/>
    </row>
    <row r="77" spans="1:25">
      <c r="A77" s="777"/>
      <c r="B77" s="777"/>
      <c r="C77" s="777"/>
      <c r="D77" s="777"/>
      <c r="E77" s="777"/>
      <c r="H77" s="777"/>
      <c r="V77" s="854"/>
      <c r="X77" s="854"/>
      <c r="Y77" s="854"/>
    </row>
    <row r="78" spans="1:25">
      <c r="A78" s="777"/>
      <c r="B78" s="777"/>
      <c r="C78" s="777"/>
      <c r="D78" s="777"/>
      <c r="E78" s="777"/>
      <c r="H78" s="777"/>
      <c r="V78" s="854"/>
      <c r="X78" s="854"/>
      <c r="Y78" s="854"/>
    </row>
    <row r="79" spans="1:25">
      <c r="A79" s="777"/>
      <c r="B79" s="777"/>
      <c r="C79" s="777"/>
      <c r="D79" s="777"/>
      <c r="E79" s="777"/>
      <c r="H79" s="777"/>
      <c r="V79" s="854"/>
      <c r="X79" s="854"/>
      <c r="Y79" s="854"/>
    </row>
    <row r="80" spans="1:25">
      <c r="A80" s="777"/>
      <c r="B80" s="777"/>
      <c r="C80" s="777"/>
      <c r="D80" s="777"/>
      <c r="E80" s="777"/>
      <c r="H80" s="777"/>
      <c r="V80" s="854"/>
      <c r="X80" s="854"/>
      <c r="Y80" s="854"/>
    </row>
    <row r="81" spans="1:25">
      <c r="A81" s="777"/>
      <c r="B81" s="777"/>
      <c r="C81" s="777"/>
      <c r="D81" s="777"/>
      <c r="E81" s="777"/>
      <c r="H81" s="777"/>
      <c r="V81" s="854"/>
      <c r="X81" s="854"/>
      <c r="Y81" s="854"/>
    </row>
    <row r="82" spans="1:25">
      <c r="A82" s="777"/>
      <c r="B82" s="777"/>
      <c r="C82" s="777"/>
      <c r="D82" s="777"/>
      <c r="E82" s="777"/>
      <c r="H82" s="777"/>
      <c r="V82" s="854"/>
      <c r="X82" s="854"/>
      <c r="Y82" s="854"/>
    </row>
    <row r="83" spans="1:25">
      <c r="A83" s="777"/>
      <c r="B83" s="777"/>
      <c r="C83" s="777"/>
      <c r="D83" s="777"/>
      <c r="E83" s="777"/>
      <c r="H83" s="777"/>
      <c r="V83" s="854"/>
      <c r="X83" s="854"/>
      <c r="Y83" s="854"/>
    </row>
    <row r="84" spans="1:25">
      <c r="A84" s="777"/>
      <c r="B84" s="777"/>
      <c r="C84" s="777"/>
      <c r="D84" s="777"/>
      <c r="E84" s="777"/>
      <c r="H84" s="777"/>
      <c r="V84" s="854"/>
      <c r="X84" s="854"/>
      <c r="Y84" s="854"/>
    </row>
    <row r="85" spans="1:25">
      <c r="A85" s="777"/>
      <c r="B85" s="777"/>
      <c r="C85" s="777"/>
      <c r="D85" s="777"/>
      <c r="E85" s="777"/>
      <c r="H85" s="777"/>
      <c r="V85" s="854"/>
      <c r="X85" s="854"/>
      <c r="Y85" s="854"/>
    </row>
    <row r="86" spans="1:25">
      <c r="A86" s="777"/>
      <c r="B86" s="777"/>
      <c r="C86" s="777"/>
      <c r="D86" s="777"/>
      <c r="E86" s="777"/>
      <c r="H86" s="777"/>
      <c r="V86" s="854"/>
      <c r="X86" s="854"/>
      <c r="Y86" s="854"/>
    </row>
    <row r="87" spans="1:25">
      <c r="A87" s="777"/>
      <c r="B87" s="777"/>
      <c r="C87" s="777"/>
      <c r="D87" s="777"/>
      <c r="E87" s="777"/>
      <c r="H87" s="777"/>
      <c r="V87" s="854"/>
      <c r="X87" s="854"/>
      <c r="Y87" s="854"/>
    </row>
    <row r="88" spans="1:25">
      <c r="A88" s="777"/>
      <c r="B88" s="777"/>
      <c r="C88" s="777"/>
      <c r="D88" s="777"/>
      <c r="E88" s="777"/>
      <c r="H88" s="777"/>
      <c r="V88" s="854"/>
      <c r="X88" s="854"/>
      <c r="Y88" s="854"/>
    </row>
    <row r="89" spans="1:25">
      <c r="A89" s="777"/>
      <c r="B89" s="777"/>
      <c r="C89" s="777"/>
      <c r="D89" s="777"/>
      <c r="E89" s="777"/>
      <c r="H89" s="777"/>
      <c r="V89" s="854"/>
      <c r="X89" s="854"/>
      <c r="Y89" s="854"/>
    </row>
    <row r="90" spans="1:25">
      <c r="A90" s="777"/>
      <c r="B90" s="777"/>
      <c r="C90" s="777"/>
      <c r="D90" s="777"/>
      <c r="E90" s="777"/>
      <c r="H90" s="777"/>
      <c r="V90" s="854"/>
      <c r="X90" s="854"/>
      <c r="Y90" s="854"/>
    </row>
    <row r="91" spans="1:25">
      <c r="A91" s="777"/>
      <c r="B91" s="777"/>
      <c r="C91" s="777"/>
      <c r="D91" s="777"/>
      <c r="E91" s="777"/>
      <c r="H91" s="777"/>
      <c r="V91" s="854"/>
      <c r="X91" s="854"/>
      <c r="Y91" s="854"/>
    </row>
    <row r="92" spans="1:25">
      <c r="A92" s="777"/>
      <c r="B92" s="777"/>
      <c r="C92" s="777"/>
      <c r="D92" s="777"/>
      <c r="E92" s="777"/>
      <c r="H92" s="777"/>
      <c r="V92" s="854"/>
      <c r="X92" s="854"/>
      <c r="Y92" s="854"/>
    </row>
    <row r="93" spans="1:25">
      <c r="A93" s="777"/>
      <c r="B93" s="777"/>
      <c r="C93" s="777"/>
      <c r="D93" s="777"/>
      <c r="E93" s="777"/>
      <c r="H93" s="777"/>
      <c r="V93" s="854"/>
      <c r="X93" s="854"/>
      <c r="Y93" s="854"/>
    </row>
    <row r="94" spans="1:25">
      <c r="A94" s="777"/>
      <c r="B94" s="777"/>
      <c r="C94" s="777"/>
      <c r="D94" s="777"/>
      <c r="E94" s="777"/>
      <c r="H94" s="777"/>
      <c r="V94" s="854"/>
      <c r="X94" s="854"/>
      <c r="Y94" s="854"/>
    </row>
    <row r="95" spans="1:25">
      <c r="A95" s="777"/>
      <c r="B95" s="777"/>
      <c r="C95" s="777"/>
      <c r="D95" s="777"/>
      <c r="E95" s="777"/>
      <c r="H95" s="777"/>
      <c r="V95" s="854"/>
      <c r="X95" s="854"/>
      <c r="Y95" s="854"/>
    </row>
    <row r="96" spans="1:25">
      <c r="A96" s="777"/>
      <c r="B96" s="777"/>
      <c r="C96" s="777"/>
      <c r="D96" s="777"/>
      <c r="E96" s="777"/>
      <c r="H96" s="777"/>
      <c r="V96" s="854"/>
      <c r="X96" s="854"/>
      <c r="Y96" s="854"/>
    </row>
    <row r="97" spans="1:25">
      <c r="A97" s="777"/>
      <c r="B97" s="777"/>
      <c r="C97" s="777"/>
      <c r="D97" s="777"/>
      <c r="E97" s="777"/>
      <c r="H97" s="777"/>
      <c r="V97" s="854"/>
      <c r="X97" s="854"/>
      <c r="Y97" s="854"/>
    </row>
    <row r="98" spans="1:25">
      <c r="A98" s="777"/>
      <c r="B98" s="777"/>
      <c r="C98" s="777"/>
      <c r="D98" s="777"/>
      <c r="E98" s="777"/>
      <c r="H98" s="777"/>
      <c r="V98" s="854"/>
      <c r="X98" s="854"/>
      <c r="Y98" s="854"/>
    </row>
    <row r="99" spans="1:25">
      <c r="A99" s="777"/>
      <c r="B99" s="777"/>
      <c r="C99" s="777"/>
      <c r="D99" s="777"/>
      <c r="E99" s="777"/>
      <c r="H99" s="777"/>
      <c r="V99" s="854"/>
      <c r="X99" s="854"/>
      <c r="Y99" s="854"/>
    </row>
    <row r="100" spans="1:25">
      <c r="A100" s="777"/>
      <c r="B100" s="777"/>
      <c r="C100" s="777"/>
      <c r="D100" s="777"/>
      <c r="E100" s="777"/>
      <c r="H100" s="777"/>
      <c r="V100" s="854"/>
      <c r="X100" s="854"/>
      <c r="Y100" s="854"/>
    </row>
    <row r="101" spans="1:25">
      <c r="A101" s="777"/>
      <c r="B101" s="777"/>
      <c r="C101" s="777"/>
      <c r="D101" s="777"/>
      <c r="E101" s="777"/>
      <c r="H101" s="777"/>
      <c r="V101" s="854"/>
      <c r="X101" s="854"/>
      <c r="Y101" s="854"/>
    </row>
    <row r="102" spans="1:25">
      <c r="A102" s="777"/>
      <c r="B102" s="777"/>
      <c r="C102" s="777"/>
      <c r="D102" s="777"/>
      <c r="E102" s="777"/>
      <c r="H102" s="777"/>
      <c r="V102" s="854"/>
      <c r="X102" s="854"/>
      <c r="Y102" s="854"/>
    </row>
    <row r="103" spans="1:25">
      <c r="A103" s="777"/>
      <c r="B103" s="777"/>
      <c r="C103" s="777"/>
      <c r="D103" s="777"/>
      <c r="E103" s="777"/>
      <c r="H103" s="777"/>
      <c r="V103" s="854"/>
      <c r="X103" s="854"/>
      <c r="Y103" s="854"/>
    </row>
    <row r="104" spans="1:25">
      <c r="A104" s="777"/>
      <c r="B104" s="777"/>
      <c r="C104" s="777"/>
      <c r="D104" s="777"/>
      <c r="E104" s="777"/>
      <c r="H104" s="777"/>
      <c r="V104" s="854"/>
      <c r="X104" s="854"/>
      <c r="Y104" s="854"/>
    </row>
    <row r="105" spans="1:25">
      <c r="A105" s="777"/>
      <c r="B105" s="777"/>
      <c r="C105" s="777"/>
      <c r="D105" s="777"/>
      <c r="E105" s="777"/>
      <c r="H105" s="777"/>
      <c r="V105" s="854"/>
      <c r="X105" s="854"/>
      <c r="Y105" s="854"/>
    </row>
    <row r="106" spans="1:25">
      <c r="A106" s="777"/>
      <c r="B106" s="777"/>
      <c r="C106" s="777"/>
      <c r="D106" s="777"/>
      <c r="E106" s="777"/>
      <c r="H106" s="777"/>
      <c r="V106" s="854"/>
      <c r="X106" s="854"/>
      <c r="Y106" s="854"/>
    </row>
    <row r="107" spans="1:25">
      <c r="A107" s="777"/>
      <c r="B107" s="777"/>
      <c r="C107" s="777"/>
      <c r="D107" s="777"/>
      <c r="E107" s="777"/>
      <c r="H107" s="777"/>
      <c r="V107" s="854"/>
      <c r="X107" s="854"/>
      <c r="Y107" s="854"/>
    </row>
    <row r="108" spans="1:25">
      <c r="A108" s="777"/>
      <c r="B108" s="777"/>
      <c r="C108" s="777"/>
      <c r="D108" s="777"/>
      <c r="E108" s="777"/>
      <c r="H108" s="777"/>
      <c r="V108" s="854"/>
      <c r="X108" s="854"/>
      <c r="Y108" s="854"/>
    </row>
    <row r="109" spans="1:25">
      <c r="A109" s="777"/>
      <c r="B109" s="777"/>
      <c r="C109" s="777"/>
      <c r="D109" s="777"/>
      <c r="E109" s="777"/>
      <c r="H109" s="777"/>
      <c r="V109" s="854"/>
      <c r="X109" s="854"/>
      <c r="Y109" s="854"/>
    </row>
    <row r="110" spans="1:25">
      <c r="A110" s="777"/>
      <c r="B110" s="777"/>
      <c r="C110" s="777"/>
      <c r="D110" s="777"/>
      <c r="E110" s="777"/>
      <c r="H110" s="777"/>
      <c r="V110" s="854"/>
      <c r="X110" s="854"/>
      <c r="Y110" s="854"/>
    </row>
    <row r="111" spans="1:25">
      <c r="A111" s="777"/>
      <c r="B111" s="777"/>
      <c r="C111" s="777"/>
      <c r="D111" s="777"/>
      <c r="E111" s="777"/>
      <c r="H111" s="777"/>
      <c r="V111" s="854"/>
      <c r="X111" s="854"/>
      <c r="Y111" s="854"/>
    </row>
    <row r="112" spans="1:25">
      <c r="A112" s="777"/>
      <c r="B112" s="777"/>
      <c r="C112" s="777"/>
      <c r="D112" s="777"/>
      <c r="E112" s="777"/>
      <c r="H112" s="777"/>
      <c r="V112" s="854"/>
      <c r="X112" s="854"/>
      <c r="Y112" s="854"/>
    </row>
    <row r="113" spans="1:25">
      <c r="A113" s="777"/>
      <c r="B113" s="777"/>
      <c r="C113" s="777"/>
      <c r="D113" s="777"/>
      <c r="E113" s="777"/>
      <c r="H113" s="777"/>
      <c r="V113" s="854"/>
      <c r="X113" s="854"/>
      <c r="Y113" s="854"/>
    </row>
    <row r="114" spans="1:25">
      <c r="A114" s="777"/>
      <c r="B114" s="777"/>
      <c r="C114" s="777"/>
      <c r="D114" s="777"/>
      <c r="E114" s="777"/>
      <c r="H114" s="777"/>
      <c r="V114" s="854"/>
      <c r="X114" s="854"/>
      <c r="Y114" s="854"/>
    </row>
    <row r="115" spans="1:25">
      <c r="A115" s="777"/>
      <c r="B115" s="777"/>
      <c r="C115" s="777"/>
      <c r="D115" s="777"/>
      <c r="E115" s="777"/>
      <c r="H115" s="777"/>
      <c r="V115" s="854"/>
      <c r="X115" s="854"/>
      <c r="Y115" s="854"/>
    </row>
    <row r="116" spans="1:25">
      <c r="A116" s="777"/>
      <c r="B116" s="777"/>
      <c r="C116" s="777"/>
      <c r="D116" s="777"/>
      <c r="E116" s="777"/>
      <c r="H116" s="777"/>
      <c r="V116" s="854"/>
      <c r="X116" s="854"/>
      <c r="Y116" s="854"/>
    </row>
    <row r="117" spans="1:25">
      <c r="A117" s="777"/>
      <c r="B117" s="777"/>
      <c r="C117" s="777"/>
      <c r="D117" s="777"/>
      <c r="E117" s="777"/>
      <c r="H117" s="777"/>
      <c r="V117" s="854"/>
      <c r="X117" s="854"/>
      <c r="Y117" s="854"/>
    </row>
    <row r="118" spans="1:25">
      <c r="A118" s="777"/>
      <c r="B118" s="777"/>
      <c r="C118" s="777"/>
      <c r="D118" s="777"/>
      <c r="E118" s="777"/>
      <c r="H118" s="777"/>
      <c r="V118" s="854"/>
      <c r="X118" s="854"/>
      <c r="Y118" s="854"/>
    </row>
    <row r="119" spans="1:25">
      <c r="A119" s="777"/>
      <c r="B119" s="777"/>
      <c r="C119" s="777"/>
      <c r="D119" s="777"/>
      <c r="E119" s="777"/>
      <c r="H119" s="777"/>
      <c r="V119" s="854"/>
      <c r="X119" s="854"/>
      <c r="Y119" s="854"/>
    </row>
    <row r="120" spans="1:25">
      <c r="A120" s="777"/>
      <c r="B120" s="777"/>
      <c r="C120" s="777"/>
      <c r="D120" s="777"/>
      <c r="E120" s="777"/>
      <c r="H120" s="777"/>
      <c r="V120" s="854"/>
      <c r="X120" s="854"/>
      <c r="Y120" s="854"/>
    </row>
    <row r="121" spans="1:25">
      <c r="A121" s="777"/>
      <c r="B121" s="777"/>
      <c r="C121" s="777"/>
      <c r="D121" s="777"/>
      <c r="E121" s="777"/>
      <c r="H121" s="777"/>
      <c r="V121" s="854"/>
      <c r="X121" s="854"/>
      <c r="Y121" s="854"/>
    </row>
    <row r="122" spans="1:25">
      <c r="A122" s="777"/>
      <c r="B122" s="777"/>
      <c r="C122" s="777"/>
      <c r="D122" s="777"/>
      <c r="E122" s="777"/>
      <c r="H122" s="777"/>
      <c r="V122" s="854"/>
      <c r="X122" s="854"/>
      <c r="Y122" s="854"/>
    </row>
    <row r="123" spans="1:25">
      <c r="A123" s="777"/>
      <c r="B123" s="777"/>
      <c r="C123" s="777"/>
      <c r="D123" s="777"/>
      <c r="E123" s="777"/>
      <c r="H123" s="777"/>
      <c r="V123" s="854"/>
      <c r="X123" s="854"/>
      <c r="Y123" s="854"/>
    </row>
    <row r="124" spans="1:25">
      <c r="A124" s="777"/>
      <c r="B124" s="777"/>
      <c r="C124" s="777"/>
      <c r="D124" s="777"/>
      <c r="E124" s="777"/>
      <c r="H124" s="777"/>
      <c r="V124" s="854"/>
      <c r="X124" s="854"/>
      <c r="Y124" s="854"/>
    </row>
    <row r="125" spans="1:25">
      <c r="A125" s="777"/>
      <c r="B125" s="777"/>
      <c r="C125" s="777"/>
      <c r="D125" s="777"/>
      <c r="E125" s="777"/>
      <c r="H125" s="777"/>
      <c r="V125" s="854"/>
      <c r="X125" s="854"/>
      <c r="Y125" s="854"/>
    </row>
    <row r="126" spans="1:25">
      <c r="A126" s="777"/>
      <c r="B126" s="777"/>
      <c r="C126" s="777"/>
      <c r="D126" s="777"/>
      <c r="E126" s="777"/>
      <c r="H126" s="777"/>
      <c r="V126" s="854"/>
      <c r="X126" s="854"/>
      <c r="Y126" s="854"/>
    </row>
    <row r="127" spans="1:25">
      <c r="A127" s="777"/>
      <c r="B127" s="777"/>
      <c r="C127" s="777"/>
      <c r="D127" s="777"/>
      <c r="E127" s="777"/>
      <c r="H127" s="777"/>
      <c r="V127" s="854"/>
      <c r="X127" s="854"/>
      <c r="Y127" s="854"/>
    </row>
    <row r="128" spans="1:25">
      <c r="A128" s="777"/>
      <c r="B128" s="777"/>
      <c r="C128" s="777"/>
      <c r="D128" s="777"/>
      <c r="E128" s="777"/>
      <c r="H128" s="777"/>
      <c r="V128" s="854"/>
      <c r="X128" s="854"/>
      <c r="Y128" s="854"/>
    </row>
    <row r="129" spans="1:25">
      <c r="A129" s="777"/>
      <c r="B129" s="777"/>
      <c r="C129" s="777"/>
      <c r="D129" s="777"/>
      <c r="E129" s="777"/>
      <c r="H129" s="777"/>
      <c r="V129" s="854"/>
      <c r="X129" s="854"/>
      <c r="Y129" s="854"/>
    </row>
    <row r="130" spans="1:25">
      <c r="A130" s="777"/>
      <c r="B130" s="777"/>
      <c r="C130" s="777"/>
      <c r="D130" s="777"/>
      <c r="E130" s="777"/>
      <c r="H130" s="777"/>
      <c r="V130" s="854"/>
      <c r="X130" s="854"/>
      <c r="Y130" s="854"/>
    </row>
    <row r="131" spans="1:25">
      <c r="A131" s="777"/>
      <c r="B131" s="777"/>
      <c r="C131" s="777"/>
      <c r="D131" s="777"/>
      <c r="E131" s="777"/>
      <c r="H131" s="777"/>
      <c r="V131" s="854"/>
      <c r="X131" s="854"/>
      <c r="Y131" s="854"/>
    </row>
    <row r="132" spans="1:25">
      <c r="A132" s="777"/>
      <c r="B132" s="777"/>
      <c r="C132" s="777"/>
      <c r="D132" s="777"/>
      <c r="E132" s="777"/>
      <c r="H132" s="777"/>
      <c r="V132" s="854"/>
      <c r="X132" s="854"/>
      <c r="Y132" s="854"/>
    </row>
    <row r="133" spans="1:25">
      <c r="A133" s="777"/>
      <c r="B133" s="777"/>
      <c r="C133" s="777"/>
      <c r="D133" s="777"/>
      <c r="E133" s="777"/>
      <c r="H133" s="777"/>
      <c r="V133" s="854"/>
      <c r="X133" s="854"/>
      <c r="Y133" s="854"/>
    </row>
    <row r="134" spans="1:25">
      <c r="A134" s="777"/>
      <c r="B134" s="777"/>
      <c r="C134" s="777"/>
      <c r="D134" s="777"/>
      <c r="E134" s="777"/>
      <c r="H134" s="777"/>
      <c r="V134" s="854"/>
      <c r="X134" s="854"/>
      <c r="Y134" s="854"/>
    </row>
    <row r="135" spans="1:25">
      <c r="A135" s="777"/>
      <c r="B135" s="777"/>
      <c r="C135" s="777"/>
      <c r="D135" s="777"/>
      <c r="E135" s="777"/>
      <c r="H135" s="777"/>
      <c r="V135" s="854"/>
      <c r="X135" s="854"/>
      <c r="Y135" s="854"/>
    </row>
    <row r="136" spans="1:25">
      <c r="A136" s="777"/>
      <c r="B136" s="777"/>
      <c r="C136" s="777"/>
      <c r="D136" s="777"/>
      <c r="E136" s="777"/>
      <c r="H136" s="777"/>
      <c r="V136" s="854"/>
      <c r="X136" s="854"/>
      <c r="Y136" s="854"/>
    </row>
    <row r="137" spans="1:25">
      <c r="A137" s="777"/>
      <c r="B137" s="777"/>
      <c r="C137" s="777"/>
      <c r="D137" s="777"/>
      <c r="E137" s="777"/>
      <c r="H137" s="777"/>
      <c r="V137" s="854"/>
      <c r="X137" s="854"/>
      <c r="Y137" s="854"/>
    </row>
    <row r="138" spans="1:25">
      <c r="A138" s="777"/>
      <c r="B138" s="777"/>
      <c r="C138" s="777"/>
      <c r="D138" s="777"/>
      <c r="E138" s="777"/>
      <c r="H138" s="777"/>
      <c r="V138" s="854"/>
      <c r="X138" s="854"/>
      <c r="Y138" s="854"/>
    </row>
    <row r="139" spans="1:25">
      <c r="A139" s="777"/>
      <c r="B139" s="777"/>
      <c r="C139" s="777"/>
      <c r="D139" s="777"/>
      <c r="E139" s="777"/>
      <c r="H139" s="777"/>
      <c r="V139" s="854"/>
      <c r="X139" s="854"/>
      <c r="Y139" s="854"/>
    </row>
    <row r="140" spans="1:25">
      <c r="A140" s="777"/>
      <c r="B140" s="777"/>
      <c r="C140" s="777"/>
      <c r="D140" s="777"/>
      <c r="E140" s="777"/>
      <c r="H140" s="777"/>
      <c r="V140" s="854"/>
      <c r="X140" s="854"/>
      <c r="Y140" s="854"/>
    </row>
    <row r="141" spans="1:25">
      <c r="A141" s="777"/>
      <c r="B141" s="777"/>
      <c r="C141" s="777"/>
      <c r="D141" s="777"/>
      <c r="E141" s="777"/>
      <c r="H141" s="777"/>
      <c r="V141" s="854"/>
      <c r="X141" s="854"/>
      <c r="Y141" s="854"/>
    </row>
    <row r="142" spans="1:25">
      <c r="A142" s="777"/>
      <c r="B142" s="777"/>
      <c r="C142" s="777"/>
      <c r="D142" s="777"/>
      <c r="E142" s="777"/>
      <c r="H142" s="777"/>
      <c r="V142" s="854"/>
      <c r="X142" s="854"/>
      <c r="Y142" s="854"/>
    </row>
    <row r="143" spans="1:25">
      <c r="A143" s="777"/>
      <c r="B143" s="777"/>
      <c r="C143" s="777"/>
      <c r="D143" s="777"/>
      <c r="E143" s="777"/>
      <c r="H143" s="777"/>
      <c r="V143" s="854"/>
      <c r="X143" s="854"/>
      <c r="Y143" s="854"/>
    </row>
    <row r="144" spans="1:25">
      <c r="A144" s="777"/>
      <c r="B144" s="777"/>
      <c r="C144" s="777"/>
      <c r="D144" s="777"/>
      <c r="E144" s="777"/>
      <c r="H144" s="777"/>
      <c r="V144" s="854"/>
      <c r="X144" s="854"/>
      <c r="Y144" s="854"/>
    </row>
    <row r="145" spans="1:25">
      <c r="A145" s="777"/>
      <c r="B145" s="777"/>
      <c r="C145" s="777"/>
      <c r="D145" s="777"/>
      <c r="E145" s="777"/>
      <c r="H145" s="777"/>
      <c r="V145" s="854"/>
      <c r="X145" s="854"/>
      <c r="Y145" s="854"/>
    </row>
    <row r="146" spans="1:25">
      <c r="A146" s="777"/>
      <c r="B146" s="777"/>
      <c r="C146" s="777"/>
      <c r="D146" s="777"/>
      <c r="E146" s="777"/>
      <c r="H146" s="777"/>
      <c r="V146" s="854"/>
      <c r="X146" s="854"/>
      <c r="Y146" s="854"/>
    </row>
    <row r="147" spans="1:25">
      <c r="A147" s="777"/>
      <c r="B147" s="777"/>
      <c r="C147" s="777"/>
      <c r="D147" s="777"/>
      <c r="E147" s="777"/>
      <c r="H147" s="777"/>
      <c r="V147" s="854"/>
      <c r="X147" s="854"/>
      <c r="Y147" s="854"/>
    </row>
    <row r="148" spans="1:25">
      <c r="A148" s="777"/>
      <c r="B148" s="777"/>
      <c r="C148" s="777"/>
      <c r="D148" s="777"/>
      <c r="E148" s="777"/>
      <c r="H148" s="777"/>
      <c r="V148" s="854"/>
      <c r="X148" s="854"/>
      <c r="Y148" s="854"/>
    </row>
    <row r="149" spans="1:25">
      <c r="A149" s="777"/>
      <c r="B149" s="777"/>
      <c r="C149" s="777"/>
      <c r="D149" s="777"/>
      <c r="E149" s="777"/>
      <c r="H149" s="777"/>
      <c r="V149" s="854"/>
      <c r="X149" s="854"/>
      <c r="Y149" s="854"/>
    </row>
    <row r="150" spans="1:25">
      <c r="A150" s="777"/>
      <c r="B150" s="777"/>
      <c r="C150" s="777"/>
      <c r="D150" s="777"/>
      <c r="E150" s="777"/>
      <c r="H150" s="777"/>
      <c r="V150" s="854"/>
      <c r="X150" s="854"/>
      <c r="Y150" s="854"/>
    </row>
    <row r="151" spans="1:25">
      <c r="A151" s="777"/>
      <c r="B151" s="777"/>
      <c r="C151" s="777"/>
      <c r="D151" s="777"/>
      <c r="E151" s="777"/>
      <c r="H151" s="777"/>
      <c r="V151" s="854"/>
      <c r="X151" s="854"/>
      <c r="Y151" s="854"/>
    </row>
    <row r="152" spans="1:25">
      <c r="A152" s="777"/>
      <c r="B152" s="777"/>
      <c r="C152" s="777"/>
      <c r="D152" s="777"/>
      <c r="E152" s="777"/>
      <c r="H152" s="777"/>
      <c r="V152" s="854"/>
      <c r="X152" s="854"/>
      <c r="Y152" s="854"/>
    </row>
    <row r="153" spans="1:25">
      <c r="A153" s="777"/>
      <c r="B153" s="777"/>
      <c r="C153" s="777"/>
      <c r="D153" s="777"/>
      <c r="E153" s="777"/>
      <c r="H153" s="777"/>
      <c r="V153" s="854"/>
      <c r="X153" s="854"/>
      <c r="Y153" s="854"/>
    </row>
    <row r="154" spans="1:25">
      <c r="A154" s="777"/>
      <c r="B154" s="777"/>
      <c r="C154" s="777"/>
      <c r="D154" s="777"/>
      <c r="E154" s="777"/>
      <c r="H154" s="777"/>
      <c r="V154" s="854"/>
      <c r="X154" s="854"/>
      <c r="Y154" s="854"/>
    </row>
    <row r="155" spans="1:25">
      <c r="A155" s="777"/>
      <c r="B155" s="777"/>
      <c r="C155" s="777"/>
      <c r="D155" s="777"/>
      <c r="E155" s="777"/>
      <c r="H155" s="777"/>
      <c r="V155" s="854"/>
      <c r="X155" s="854"/>
      <c r="Y155" s="854"/>
    </row>
    <row r="156" spans="1:25">
      <c r="A156" s="777"/>
      <c r="B156" s="777"/>
      <c r="C156" s="777"/>
      <c r="D156" s="777"/>
      <c r="E156" s="777"/>
      <c r="H156" s="777"/>
      <c r="V156" s="854"/>
      <c r="X156" s="854"/>
      <c r="Y156" s="854"/>
    </row>
    <row r="157" spans="1:25">
      <c r="A157" s="777"/>
      <c r="B157" s="777"/>
      <c r="C157" s="777"/>
      <c r="D157" s="777"/>
      <c r="E157" s="777"/>
      <c r="H157" s="777"/>
      <c r="V157" s="854"/>
      <c r="X157" s="854"/>
      <c r="Y157" s="854"/>
    </row>
    <row r="158" spans="1:25">
      <c r="A158" s="777"/>
      <c r="B158" s="777"/>
      <c r="C158" s="777"/>
      <c r="D158" s="777"/>
      <c r="E158" s="777"/>
      <c r="H158" s="777"/>
      <c r="V158" s="854"/>
      <c r="X158" s="854"/>
      <c r="Y158" s="854"/>
    </row>
    <row r="159" spans="1:25">
      <c r="A159" s="777"/>
      <c r="B159" s="777"/>
      <c r="C159" s="777"/>
      <c r="D159" s="777"/>
      <c r="E159" s="777"/>
      <c r="H159" s="777"/>
      <c r="V159" s="854"/>
      <c r="X159" s="854"/>
      <c r="Y159" s="854"/>
    </row>
    <row r="160" spans="1:25">
      <c r="A160" s="777"/>
      <c r="B160" s="777"/>
      <c r="C160" s="777"/>
      <c r="D160" s="777"/>
      <c r="E160" s="777"/>
      <c r="H160" s="777"/>
      <c r="V160" s="854"/>
      <c r="X160" s="854"/>
      <c r="Y160" s="854"/>
    </row>
    <row r="161" spans="1:25">
      <c r="A161" s="777"/>
      <c r="B161" s="777"/>
      <c r="C161" s="777"/>
      <c r="D161" s="777"/>
      <c r="E161" s="777"/>
      <c r="H161" s="777"/>
      <c r="V161" s="854"/>
      <c r="X161" s="854"/>
      <c r="Y161" s="854"/>
    </row>
    <row r="162" spans="1:25">
      <c r="A162" s="777"/>
      <c r="B162" s="777"/>
      <c r="C162" s="777"/>
      <c r="D162" s="777"/>
      <c r="E162" s="777"/>
      <c r="H162" s="777"/>
      <c r="V162" s="854"/>
      <c r="X162" s="854"/>
      <c r="Y162" s="854"/>
    </row>
    <row r="163" spans="1:25">
      <c r="A163" s="777"/>
      <c r="B163" s="777"/>
      <c r="C163" s="777"/>
      <c r="D163" s="777"/>
      <c r="E163" s="777"/>
      <c r="H163" s="777"/>
      <c r="V163" s="854"/>
      <c r="X163" s="854"/>
      <c r="Y163" s="854"/>
    </row>
    <row r="164" spans="1:25">
      <c r="A164" s="777"/>
      <c r="B164" s="777"/>
      <c r="C164" s="777"/>
      <c r="D164" s="777"/>
      <c r="E164" s="777"/>
      <c r="H164" s="777"/>
      <c r="V164" s="854"/>
      <c r="X164" s="854"/>
      <c r="Y164" s="854"/>
    </row>
    <row r="165" spans="1:25">
      <c r="A165" s="777"/>
      <c r="B165" s="777"/>
      <c r="C165" s="777"/>
      <c r="D165" s="777"/>
      <c r="E165" s="777"/>
      <c r="H165" s="777"/>
      <c r="V165" s="854"/>
      <c r="X165" s="854"/>
      <c r="Y165" s="854"/>
    </row>
    <row r="166" spans="1:25">
      <c r="A166" s="777"/>
      <c r="B166" s="777"/>
      <c r="C166" s="777"/>
      <c r="D166" s="777"/>
      <c r="E166" s="777"/>
      <c r="H166" s="777"/>
      <c r="V166" s="854"/>
      <c r="X166" s="854"/>
      <c r="Y166" s="854"/>
    </row>
    <row r="167" spans="1:25">
      <c r="A167" s="777"/>
      <c r="B167" s="777"/>
      <c r="C167" s="777"/>
      <c r="D167" s="777"/>
      <c r="E167" s="777"/>
      <c r="H167" s="777"/>
      <c r="V167" s="854"/>
      <c r="X167" s="854"/>
      <c r="Y167" s="854"/>
    </row>
    <row r="168" spans="1:25">
      <c r="A168" s="777"/>
      <c r="B168" s="777"/>
      <c r="C168" s="777"/>
      <c r="D168" s="777"/>
      <c r="E168" s="777"/>
      <c r="H168" s="777"/>
      <c r="V168" s="854"/>
      <c r="X168" s="854"/>
      <c r="Y168" s="854"/>
    </row>
    <row r="169" spans="1:25">
      <c r="A169" s="777"/>
      <c r="B169" s="777"/>
      <c r="C169" s="777"/>
      <c r="D169" s="777"/>
      <c r="E169" s="777"/>
      <c r="H169" s="777"/>
      <c r="V169" s="854"/>
      <c r="X169" s="854"/>
      <c r="Y169" s="854"/>
    </row>
    <row r="170" spans="1:25">
      <c r="A170" s="777"/>
      <c r="B170" s="777"/>
      <c r="C170" s="777"/>
      <c r="D170" s="777"/>
      <c r="E170" s="777"/>
      <c r="H170" s="777"/>
      <c r="V170" s="854"/>
      <c r="X170" s="854"/>
      <c r="Y170" s="854"/>
    </row>
    <row r="171" spans="1:25">
      <c r="A171" s="777"/>
      <c r="B171" s="777"/>
      <c r="C171" s="777"/>
      <c r="D171" s="777"/>
      <c r="E171" s="777"/>
      <c r="H171" s="777"/>
      <c r="V171" s="854"/>
      <c r="X171" s="854"/>
      <c r="Y171" s="854"/>
    </row>
    <row r="172" spans="1:25">
      <c r="A172" s="777"/>
      <c r="B172" s="777"/>
      <c r="C172" s="777"/>
      <c r="D172" s="777"/>
      <c r="E172" s="777"/>
      <c r="H172" s="777"/>
      <c r="V172" s="854"/>
      <c r="X172" s="854"/>
      <c r="Y172" s="854"/>
    </row>
    <row r="173" spans="1:25">
      <c r="A173" s="777"/>
      <c r="B173" s="777"/>
      <c r="C173" s="777"/>
      <c r="D173" s="777"/>
      <c r="E173" s="777"/>
      <c r="H173" s="777"/>
      <c r="V173" s="854"/>
      <c r="X173" s="854"/>
      <c r="Y173" s="854"/>
    </row>
    <row r="174" spans="1:25">
      <c r="A174" s="777"/>
      <c r="B174" s="777"/>
      <c r="C174" s="777"/>
      <c r="D174" s="777"/>
      <c r="E174" s="777"/>
      <c r="H174" s="777"/>
      <c r="V174" s="854"/>
      <c r="X174" s="854"/>
      <c r="Y174" s="854"/>
    </row>
    <row r="175" spans="1:25">
      <c r="A175" s="777"/>
      <c r="B175" s="777"/>
      <c r="C175" s="777"/>
      <c r="D175" s="777"/>
      <c r="E175" s="777"/>
      <c r="H175" s="777"/>
      <c r="V175" s="854"/>
      <c r="X175" s="854"/>
      <c r="Y175" s="854"/>
    </row>
    <row r="176" spans="1:25">
      <c r="A176" s="777"/>
      <c r="B176" s="777"/>
      <c r="C176" s="777"/>
      <c r="D176" s="777"/>
      <c r="E176" s="777"/>
      <c r="H176" s="777"/>
      <c r="V176" s="854"/>
      <c r="X176" s="854"/>
      <c r="Y176" s="854"/>
    </row>
    <row r="177" spans="1:25">
      <c r="A177" s="777"/>
      <c r="B177" s="777"/>
      <c r="C177" s="777"/>
      <c r="D177" s="777"/>
      <c r="E177" s="777"/>
      <c r="H177" s="777"/>
      <c r="V177" s="854"/>
      <c r="X177" s="854"/>
      <c r="Y177" s="854"/>
    </row>
    <row r="178" spans="1:25">
      <c r="A178" s="777"/>
      <c r="B178" s="777"/>
      <c r="C178" s="777"/>
      <c r="D178" s="777"/>
      <c r="E178" s="777"/>
      <c r="H178" s="777"/>
      <c r="V178" s="854"/>
      <c r="X178" s="854"/>
      <c r="Y178" s="854"/>
    </row>
    <row r="179" spans="1:25">
      <c r="A179" s="777"/>
      <c r="B179" s="777"/>
      <c r="C179" s="777"/>
      <c r="D179" s="777"/>
      <c r="E179" s="777"/>
      <c r="H179" s="777"/>
      <c r="V179" s="854"/>
      <c r="X179" s="854"/>
      <c r="Y179" s="854"/>
    </row>
    <row r="180" spans="1:25">
      <c r="A180" s="777"/>
      <c r="B180" s="777"/>
      <c r="C180" s="777"/>
      <c r="D180" s="777"/>
      <c r="E180" s="777"/>
      <c r="H180" s="777"/>
      <c r="V180" s="854"/>
      <c r="X180" s="854"/>
      <c r="Y180" s="854"/>
    </row>
    <row r="181" spans="1:25">
      <c r="A181" s="777"/>
      <c r="B181" s="777"/>
      <c r="C181" s="777"/>
      <c r="D181" s="777"/>
      <c r="E181" s="777"/>
      <c r="H181" s="777"/>
      <c r="V181" s="854"/>
      <c r="X181" s="854"/>
      <c r="Y181" s="854"/>
    </row>
    <row r="182" spans="1:25">
      <c r="A182" s="777"/>
      <c r="B182" s="777"/>
      <c r="C182" s="777"/>
      <c r="D182" s="777"/>
      <c r="E182" s="777"/>
      <c r="H182" s="777"/>
      <c r="V182" s="854"/>
      <c r="X182" s="854"/>
      <c r="Y182" s="854"/>
    </row>
    <row r="183" spans="1:25">
      <c r="A183" s="777"/>
      <c r="B183" s="777"/>
      <c r="C183" s="777"/>
      <c r="D183" s="777"/>
      <c r="E183" s="777"/>
      <c r="H183" s="777"/>
      <c r="V183" s="854"/>
      <c r="X183" s="854"/>
      <c r="Y183" s="854"/>
    </row>
    <row r="184" spans="1:25">
      <c r="A184" s="777"/>
      <c r="B184" s="777"/>
      <c r="C184" s="777"/>
      <c r="D184" s="777"/>
      <c r="E184" s="777"/>
      <c r="H184" s="777"/>
      <c r="V184" s="854"/>
      <c r="X184" s="854"/>
      <c r="Y184" s="854"/>
    </row>
    <row r="185" spans="1:25">
      <c r="A185" s="777"/>
      <c r="B185" s="777"/>
      <c r="C185" s="777"/>
      <c r="D185" s="777"/>
      <c r="E185" s="777"/>
      <c r="H185" s="777"/>
      <c r="V185" s="854"/>
      <c r="X185" s="854"/>
      <c r="Y185" s="854"/>
    </row>
    <row r="186" spans="1:25">
      <c r="A186" s="777"/>
      <c r="B186" s="777"/>
      <c r="C186" s="777"/>
      <c r="D186" s="777"/>
      <c r="E186" s="777"/>
      <c r="H186" s="777"/>
      <c r="V186" s="854"/>
      <c r="X186" s="854"/>
      <c r="Y186" s="854"/>
    </row>
    <row r="187" spans="1:25">
      <c r="A187" s="777"/>
      <c r="B187" s="777"/>
      <c r="C187" s="777"/>
      <c r="D187" s="777"/>
      <c r="E187" s="777"/>
      <c r="H187" s="777"/>
      <c r="V187" s="854"/>
      <c r="X187" s="854"/>
      <c r="Y187" s="854"/>
    </row>
    <row r="188" spans="1:25">
      <c r="A188" s="777"/>
      <c r="B188" s="777"/>
      <c r="C188" s="777"/>
      <c r="D188" s="777"/>
      <c r="E188" s="777"/>
      <c r="H188" s="777"/>
      <c r="V188" s="854"/>
      <c r="X188" s="854"/>
      <c r="Y188" s="854"/>
    </row>
    <row r="189" spans="1:25">
      <c r="A189" s="777"/>
      <c r="B189" s="777"/>
      <c r="C189" s="777"/>
      <c r="D189" s="777"/>
      <c r="E189" s="777"/>
      <c r="H189" s="777"/>
      <c r="V189" s="854"/>
      <c r="X189" s="854"/>
      <c r="Y189" s="854"/>
    </row>
    <row r="190" spans="1:25">
      <c r="A190" s="777"/>
      <c r="B190" s="777"/>
      <c r="C190" s="777"/>
      <c r="D190" s="777"/>
      <c r="E190" s="777"/>
      <c r="H190" s="777"/>
      <c r="V190" s="854"/>
      <c r="X190" s="854"/>
      <c r="Y190" s="854"/>
    </row>
    <row r="191" spans="1:25">
      <c r="A191" s="777"/>
      <c r="B191" s="777"/>
      <c r="C191" s="777"/>
      <c r="D191" s="777"/>
      <c r="E191" s="777"/>
      <c r="H191" s="777"/>
      <c r="V191" s="854"/>
      <c r="X191" s="854"/>
      <c r="Y191" s="854"/>
    </row>
    <row r="192" spans="1:25">
      <c r="A192" s="777"/>
      <c r="B192" s="777"/>
      <c r="C192" s="777"/>
      <c r="D192" s="777"/>
      <c r="E192" s="777"/>
      <c r="H192" s="777"/>
      <c r="V192" s="854"/>
      <c r="X192" s="854"/>
      <c r="Y192" s="854"/>
    </row>
    <row r="193" spans="1:25">
      <c r="A193" s="777"/>
      <c r="B193" s="777"/>
      <c r="C193" s="777"/>
      <c r="D193" s="777"/>
      <c r="E193" s="777"/>
      <c r="H193" s="777"/>
      <c r="V193" s="854"/>
      <c r="X193" s="854"/>
      <c r="Y193" s="854"/>
    </row>
    <row r="194" spans="1:25">
      <c r="A194" s="777"/>
      <c r="B194" s="777"/>
      <c r="C194" s="777"/>
      <c r="D194" s="777"/>
      <c r="E194" s="777"/>
      <c r="H194" s="777"/>
      <c r="V194" s="854"/>
      <c r="X194" s="854"/>
      <c r="Y194" s="854"/>
    </row>
    <row r="195" spans="1:25">
      <c r="A195" s="777"/>
      <c r="B195" s="777"/>
      <c r="C195" s="777"/>
      <c r="D195" s="777"/>
      <c r="E195" s="777"/>
      <c r="H195" s="777"/>
      <c r="V195" s="854"/>
      <c r="X195" s="854"/>
      <c r="Y195" s="854"/>
    </row>
    <row r="196" spans="1:25">
      <c r="A196" s="777"/>
      <c r="B196" s="777"/>
      <c r="C196" s="777"/>
      <c r="D196" s="777"/>
      <c r="E196" s="777"/>
      <c r="H196" s="777"/>
      <c r="V196" s="854"/>
      <c r="X196" s="854"/>
      <c r="Y196" s="854"/>
    </row>
    <row r="197" spans="1:25">
      <c r="A197" s="777"/>
      <c r="B197" s="777"/>
      <c r="C197" s="777"/>
      <c r="D197" s="777"/>
      <c r="E197" s="777"/>
      <c r="H197" s="777"/>
      <c r="V197" s="854"/>
      <c r="X197" s="854"/>
      <c r="Y197" s="854"/>
    </row>
    <row r="198" spans="1:25">
      <c r="A198" s="777"/>
      <c r="B198" s="777"/>
      <c r="C198" s="777"/>
      <c r="D198" s="777"/>
      <c r="E198" s="777"/>
      <c r="H198" s="777"/>
      <c r="V198" s="854"/>
      <c r="X198" s="854"/>
      <c r="Y198" s="854"/>
    </row>
    <row r="199" spans="1:25">
      <c r="A199" s="777"/>
      <c r="B199" s="777"/>
      <c r="C199" s="777"/>
      <c r="D199" s="777"/>
      <c r="E199" s="777"/>
      <c r="H199" s="777"/>
      <c r="V199" s="854"/>
      <c r="X199" s="854"/>
      <c r="Y199" s="854"/>
    </row>
    <row r="200" spans="1:25">
      <c r="A200" s="777"/>
      <c r="B200" s="777"/>
      <c r="C200" s="777"/>
      <c r="D200" s="777"/>
      <c r="E200" s="777"/>
      <c r="H200" s="777"/>
      <c r="V200" s="854"/>
      <c r="X200" s="854"/>
      <c r="Y200" s="854"/>
    </row>
    <row r="201" spans="1:25">
      <c r="A201" s="777"/>
      <c r="B201" s="777"/>
      <c r="C201" s="777"/>
      <c r="D201" s="777"/>
      <c r="E201" s="777"/>
      <c r="H201" s="777"/>
      <c r="V201" s="854"/>
      <c r="X201" s="854"/>
      <c r="Y201" s="854"/>
    </row>
    <row r="202" spans="1:25">
      <c r="A202" s="777"/>
      <c r="B202" s="777"/>
      <c r="C202" s="777"/>
      <c r="D202" s="777"/>
      <c r="E202" s="777"/>
      <c r="H202" s="777"/>
      <c r="V202" s="854"/>
      <c r="X202" s="854"/>
      <c r="Y202" s="854"/>
    </row>
    <row r="203" spans="1:25">
      <c r="A203" s="777"/>
      <c r="B203" s="777"/>
      <c r="C203" s="777"/>
      <c r="D203" s="777"/>
      <c r="E203" s="777"/>
      <c r="H203" s="777"/>
      <c r="V203" s="854"/>
      <c r="X203" s="854"/>
      <c r="Y203" s="854"/>
    </row>
    <row r="204" spans="1:25">
      <c r="A204" s="777"/>
      <c r="B204" s="777"/>
      <c r="C204" s="777"/>
      <c r="D204" s="777"/>
      <c r="E204" s="777"/>
      <c r="H204" s="777"/>
      <c r="V204" s="854"/>
      <c r="X204" s="854"/>
      <c r="Y204" s="854"/>
    </row>
    <row r="205" spans="1:25">
      <c r="A205" s="777"/>
      <c r="B205" s="777"/>
      <c r="C205" s="777"/>
      <c r="D205" s="777"/>
      <c r="E205" s="777"/>
      <c r="H205" s="777"/>
      <c r="V205" s="854"/>
      <c r="X205" s="854"/>
      <c r="Y205" s="854"/>
    </row>
    <row r="206" spans="1:25">
      <c r="A206" s="777"/>
      <c r="B206" s="777"/>
      <c r="C206" s="777"/>
      <c r="D206" s="777"/>
      <c r="E206" s="777"/>
      <c r="H206" s="777"/>
      <c r="V206" s="854"/>
      <c r="X206" s="854"/>
      <c r="Y206" s="854"/>
    </row>
    <row r="207" spans="1:25">
      <c r="A207" s="777"/>
      <c r="B207" s="777"/>
      <c r="C207" s="777"/>
      <c r="D207" s="777"/>
      <c r="E207" s="777"/>
      <c r="H207" s="777"/>
      <c r="V207" s="854"/>
      <c r="X207" s="854"/>
      <c r="Y207" s="854"/>
    </row>
    <row r="208" spans="1:25">
      <c r="A208" s="777"/>
      <c r="B208" s="777"/>
      <c r="C208" s="777"/>
      <c r="D208" s="777"/>
      <c r="E208" s="777"/>
      <c r="H208" s="777"/>
      <c r="V208" s="854"/>
      <c r="X208" s="854"/>
      <c r="Y208" s="854"/>
    </row>
    <row r="209" spans="1:25">
      <c r="A209" s="777"/>
      <c r="B209" s="777"/>
      <c r="C209" s="777"/>
      <c r="D209" s="777"/>
      <c r="E209" s="777"/>
      <c r="H209" s="777"/>
      <c r="V209" s="854"/>
      <c r="X209" s="854"/>
      <c r="Y209" s="854"/>
    </row>
    <row r="210" spans="1:25">
      <c r="A210" s="777"/>
      <c r="B210" s="777"/>
      <c r="C210" s="777"/>
      <c r="D210" s="777"/>
      <c r="E210" s="777"/>
      <c r="H210" s="777"/>
      <c r="V210" s="854"/>
      <c r="X210" s="854"/>
      <c r="Y210" s="854"/>
    </row>
    <row r="211" spans="1:25">
      <c r="A211" s="777"/>
      <c r="B211" s="777"/>
      <c r="C211" s="777"/>
      <c r="D211" s="777"/>
      <c r="E211" s="777"/>
      <c r="H211" s="777"/>
      <c r="V211" s="854"/>
      <c r="X211" s="854"/>
      <c r="Y211" s="854"/>
    </row>
    <row r="212" spans="1:25">
      <c r="A212" s="777"/>
      <c r="B212" s="777"/>
      <c r="C212" s="777"/>
      <c r="D212" s="777"/>
      <c r="E212" s="777"/>
      <c r="H212" s="777"/>
      <c r="V212" s="854"/>
      <c r="X212" s="854"/>
      <c r="Y212" s="854"/>
    </row>
    <row r="213" spans="1:25">
      <c r="A213" s="777"/>
      <c r="B213" s="777"/>
      <c r="C213" s="777"/>
      <c r="D213" s="777"/>
      <c r="E213" s="777"/>
      <c r="H213" s="777"/>
      <c r="V213" s="854"/>
      <c r="X213" s="854"/>
      <c r="Y213" s="854"/>
    </row>
    <row r="214" spans="1:25">
      <c r="A214" s="777"/>
      <c r="B214" s="777"/>
      <c r="C214" s="777"/>
      <c r="D214" s="777"/>
      <c r="E214" s="777"/>
      <c r="H214" s="777"/>
      <c r="V214" s="854"/>
      <c r="X214" s="854"/>
      <c r="Y214" s="854"/>
    </row>
    <row r="215" spans="1:25">
      <c r="A215" s="777"/>
      <c r="B215" s="777"/>
      <c r="C215" s="777"/>
      <c r="D215" s="777"/>
      <c r="E215" s="777"/>
      <c r="H215" s="777"/>
      <c r="V215" s="854"/>
      <c r="X215" s="854"/>
      <c r="Y215" s="854"/>
    </row>
    <row r="216" spans="1:25">
      <c r="A216" s="777"/>
      <c r="B216" s="777"/>
      <c r="C216" s="777"/>
      <c r="D216" s="777"/>
      <c r="E216" s="777"/>
      <c r="H216" s="777"/>
      <c r="V216" s="854"/>
      <c r="X216" s="854"/>
      <c r="Y216" s="854"/>
    </row>
    <row r="217" spans="1:25">
      <c r="A217" s="777"/>
      <c r="B217" s="777"/>
      <c r="C217" s="777"/>
      <c r="D217" s="777"/>
      <c r="E217" s="777"/>
      <c r="H217" s="777"/>
      <c r="V217" s="854"/>
      <c r="X217" s="854"/>
      <c r="Y217" s="854"/>
    </row>
    <row r="218" spans="1:25">
      <c r="A218" s="777"/>
      <c r="B218" s="777"/>
      <c r="C218" s="777"/>
      <c r="D218" s="777"/>
      <c r="E218" s="777"/>
      <c r="H218" s="777"/>
      <c r="V218" s="854"/>
      <c r="X218" s="854"/>
      <c r="Y218" s="854"/>
    </row>
    <row r="219" spans="1:25">
      <c r="A219" s="777"/>
      <c r="B219" s="777"/>
      <c r="C219" s="777"/>
      <c r="D219" s="777"/>
      <c r="E219" s="777"/>
      <c r="H219" s="777"/>
      <c r="V219" s="854"/>
      <c r="X219" s="854"/>
      <c r="Y219" s="854"/>
    </row>
    <row r="220" spans="1:25">
      <c r="A220" s="777"/>
      <c r="B220" s="777"/>
      <c r="C220" s="777"/>
      <c r="D220" s="777"/>
      <c r="E220" s="777"/>
      <c r="H220" s="777"/>
      <c r="V220" s="854"/>
      <c r="X220" s="854"/>
      <c r="Y220" s="854"/>
    </row>
    <row r="221" spans="1:25">
      <c r="A221" s="777"/>
      <c r="B221" s="777"/>
      <c r="C221" s="777"/>
      <c r="D221" s="777"/>
      <c r="E221" s="777"/>
      <c r="H221" s="777"/>
      <c r="V221" s="854"/>
      <c r="X221" s="854"/>
      <c r="Y221" s="854"/>
    </row>
    <row r="222" spans="1:25">
      <c r="A222" s="777"/>
      <c r="B222" s="777"/>
      <c r="C222" s="777"/>
      <c r="D222" s="777"/>
      <c r="E222" s="777"/>
      <c r="H222" s="777"/>
      <c r="V222" s="854"/>
      <c r="X222" s="854"/>
      <c r="Y222" s="854"/>
    </row>
    <row r="223" spans="1:25">
      <c r="A223" s="777"/>
      <c r="B223" s="777"/>
      <c r="C223" s="777"/>
      <c r="D223" s="777"/>
      <c r="E223" s="777"/>
      <c r="H223" s="777"/>
      <c r="V223" s="854"/>
      <c r="X223" s="854"/>
      <c r="Y223" s="854"/>
    </row>
    <row r="224" spans="1:25">
      <c r="A224" s="777"/>
      <c r="B224" s="777"/>
      <c r="C224" s="777"/>
      <c r="D224" s="777"/>
      <c r="E224" s="777"/>
      <c r="H224" s="777"/>
      <c r="V224" s="854"/>
      <c r="X224" s="854"/>
      <c r="Y224" s="854"/>
    </row>
    <row r="225" spans="1:25">
      <c r="A225" s="777"/>
      <c r="B225" s="777"/>
      <c r="C225" s="777"/>
      <c r="D225" s="777"/>
      <c r="E225" s="777"/>
      <c r="H225" s="777"/>
      <c r="V225" s="854"/>
      <c r="X225" s="854"/>
      <c r="Y225" s="854"/>
    </row>
    <row r="226" spans="1:25">
      <c r="A226" s="777"/>
      <c r="B226" s="777"/>
      <c r="C226" s="777"/>
      <c r="D226" s="777"/>
      <c r="E226" s="777"/>
      <c r="H226" s="777"/>
      <c r="V226" s="854"/>
      <c r="X226" s="854"/>
      <c r="Y226" s="854"/>
    </row>
    <row r="227" spans="1:25">
      <c r="A227" s="777"/>
      <c r="B227" s="777"/>
      <c r="C227" s="777"/>
      <c r="D227" s="777"/>
      <c r="E227" s="777"/>
      <c r="H227" s="777"/>
      <c r="V227" s="854"/>
      <c r="X227" s="854"/>
      <c r="Y227" s="854"/>
    </row>
    <row r="228" spans="1:25">
      <c r="A228" s="777"/>
      <c r="B228" s="777"/>
      <c r="C228" s="777"/>
      <c r="D228" s="777"/>
      <c r="E228" s="777"/>
      <c r="H228" s="777"/>
      <c r="V228" s="854"/>
      <c r="X228" s="854"/>
      <c r="Y228" s="854"/>
    </row>
    <row r="229" spans="1:25">
      <c r="A229" s="777"/>
      <c r="B229" s="777"/>
      <c r="C229" s="777"/>
      <c r="D229" s="777"/>
      <c r="E229" s="777"/>
      <c r="H229" s="777"/>
      <c r="V229" s="854"/>
      <c r="X229" s="854"/>
      <c r="Y229" s="854"/>
    </row>
    <row r="230" spans="1:25">
      <c r="A230" s="777"/>
      <c r="B230" s="777"/>
      <c r="C230" s="777"/>
      <c r="D230" s="777"/>
      <c r="E230" s="777"/>
      <c r="H230" s="777"/>
      <c r="V230" s="854"/>
      <c r="X230" s="854"/>
      <c r="Y230" s="854"/>
    </row>
    <row r="231" spans="1:25">
      <c r="A231" s="777"/>
      <c r="B231" s="777"/>
      <c r="C231" s="777"/>
      <c r="D231" s="777"/>
      <c r="E231" s="777"/>
      <c r="H231" s="777"/>
      <c r="V231" s="854"/>
      <c r="X231" s="854"/>
      <c r="Y231" s="854"/>
    </row>
    <row r="232" spans="1:25">
      <c r="A232" s="777"/>
      <c r="B232" s="777"/>
      <c r="C232" s="777"/>
      <c r="D232" s="777"/>
      <c r="E232" s="777"/>
      <c r="H232" s="777"/>
      <c r="V232" s="854"/>
      <c r="X232" s="854"/>
      <c r="Y232" s="854"/>
    </row>
    <row r="233" spans="1:25">
      <c r="A233" s="777"/>
      <c r="B233" s="777"/>
      <c r="C233" s="777"/>
      <c r="D233" s="777"/>
      <c r="E233" s="777"/>
      <c r="H233" s="777"/>
      <c r="V233" s="854"/>
      <c r="X233" s="854"/>
      <c r="Y233" s="854"/>
    </row>
    <row r="234" spans="1:25">
      <c r="A234" s="777"/>
      <c r="B234" s="777"/>
      <c r="C234" s="777"/>
      <c r="D234" s="777"/>
      <c r="E234" s="777"/>
      <c r="H234" s="777"/>
      <c r="V234" s="854"/>
      <c r="X234" s="854"/>
      <c r="Y234" s="854"/>
    </row>
    <row r="235" spans="1:25">
      <c r="A235" s="777"/>
      <c r="B235" s="777"/>
      <c r="C235" s="777"/>
      <c r="D235" s="777"/>
      <c r="E235" s="777"/>
      <c r="H235" s="777"/>
      <c r="V235" s="854"/>
      <c r="X235" s="854"/>
      <c r="Y235" s="854"/>
    </row>
    <row r="236" spans="1:25">
      <c r="A236" s="777"/>
      <c r="B236" s="777"/>
      <c r="C236" s="777"/>
      <c r="D236" s="777"/>
      <c r="E236" s="777"/>
      <c r="H236" s="777"/>
      <c r="V236" s="854"/>
      <c r="X236" s="854"/>
      <c r="Y236" s="854"/>
    </row>
    <row r="237" spans="1:25">
      <c r="A237" s="777"/>
      <c r="B237" s="777"/>
      <c r="C237" s="777"/>
      <c r="D237" s="777"/>
      <c r="E237" s="777"/>
      <c r="H237" s="777"/>
      <c r="V237" s="854"/>
      <c r="X237" s="854"/>
      <c r="Y237" s="854"/>
    </row>
    <row r="238" spans="1:25">
      <c r="A238" s="777"/>
      <c r="B238" s="777"/>
      <c r="C238" s="777"/>
      <c r="D238" s="777"/>
      <c r="E238" s="777"/>
      <c r="H238" s="777"/>
      <c r="V238" s="854"/>
      <c r="X238" s="854"/>
      <c r="Y238" s="854"/>
    </row>
    <row r="239" spans="1:25">
      <c r="A239" s="777"/>
      <c r="B239" s="777"/>
      <c r="C239" s="777"/>
      <c r="D239" s="777"/>
      <c r="E239" s="777"/>
      <c r="H239" s="777"/>
      <c r="V239" s="854"/>
      <c r="X239" s="854"/>
      <c r="Y239" s="854"/>
    </row>
    <row r="240" spans="1:25">
      <c r="A240" s="777"/>
      <c r="B240" s="777"/>
      <c r="C240" s="777"/>
      <c r="D240" s="777"/>
      <c r="E240" s="777"/>
      <c r="H240" s="777"/>
      <c r="V240" s="854"/>
      <c r="X240" s="854"/>
      <c r="Y240" s="854"/>
    </row>
    <row r="241" spans="1:25">
      <c r="A241" s="777"/>
      <c r="B241" s="777"/>
      <c r="C241" s="777"/>
      <c r="D241" s="777"/>
      <c r="E241" s="777"/>
      <c r="H241" s="777"/>
      <c r="V241" s="854"/>
      <c r="X241" s="854"/>
      <c r="Y241" s="854"/>
    </row>
    <row r="242" spans="1:25">
      <c r="A242" s="777"/>
      <c r="B242" s="777"/>
      <c r="C242" s="777"/>
      <c r="D242" s="777"/>
      <c r="E242" s="777"/>
      <c r="H242" s="777"/>
      <c r="V242" s="854"/>
      <c r="X242" s="854"/>
      <c r="Y242" s="854"/>
    </row>
    <row r="243" spans="1:25">
      <c r="A243" s="777"/>
      <c r="B243" s="777"/>
      <c r="C243" s="777"/>
      <c r="D243" s="777"/>
      <c r="E243" s="777"/>
      <c r="H243" s="777"/>
      <c r="V243" s="854"/>
      <c r="X243" s="854"/>
      <c r="Y243" s="854"/>
    </row>
    <row r="244" spans="1:25">
      <c r="A244" s="777"/>
      <c r="B244" s="777"/>
      <c r="C244" s="777"/>
      <c r="D244" s="777"/>
      <c r="E244" s="777"/>
      <c r="H244" s="777"/>
      <c r="V244" s="854"/>
      <c r="X244" s="854"/>
      <c r="Y244" s="854"/>
    </row>
    <row r="245" spans="1:25">
      <c r="A245" s="777"/>
      <c r="B245" s="777"/>
      <c r="C245" s="777"/>
      <c r="D245" s="777"/>
      <c r="E245" s="777"/>
      <c r="H245" s="777"/>
      <c r="V245" s="854"/>
      <c r="X245" s="854"/>
      <c r="Y245" s="854"/>
    </row>
    <row r="246" spans="1:25">
      <c r="A246" s="777"/>
      <c r="B246" s="777"/>
      <c r="C246" s="777"/>
      <c r="D246" s="777"/>
      <c r="E246" s="777"/>
      <c r="H246" s="777"/>
      <c r="V246" s="854"/>
      <c r="X246" s="854"/>
      <c r="Y246" s="854"/>
    </row>
    <row r="247" spans="1:25">
      <c r="A247" s="777"/>
      <c r="B247" s="777"/>
      <c r="C247" s="777"/>
      <c r="D247" s="777"/>
      <c r="E247" s="777"/>
      <c r="H247" s="777"/>
      <c r="V247" s="854"/>
      <c r="X247" s="854"/>
      <c r="Y247" s="854"/>
    </row>
    <row r="248" spans="1:25">
      <c r="A248" s="777"/>
      <c r="B248" s="777"/>
      <c r="C248" s="777"/>
      <c r="D248" s="777"/>
      <c r="E248" s="777"/>
      <c r="H248" s="777"/>
      <c r="V248" s="854"/>
      <c r="X248" s="854"/>
      <c r="Y248" s="854"/>
    </row>
    <row r="249" spans="1:25">
      <c r="A249" s="777"/>
      <c r="B249" s="777"/>
      <c r="C249" s="777"/>
      <c r="D249" s="777"/>
      <c r="E249" s="777"/>
      <c r="H249" s="777"/>
      <c r="V249" s="854"/>
      <c r="X249" s="854"/>
      <c r="Y249" s="854"/>
    </row>
    <row r="250" spans="1:25">
      <c r="A250" s="777"/>
      <c r="B250" s="777"/>
      <c r="C250" s="777"/>
      <c r="D250" s="777"/>
      <c r="E250" s="777"/>
      <c r="H250" s="777"/>
      <c r="V250" s="854"/>
      <c r="X250" s="854"/>
      <c r="Y250" s="854"/>
    </row>
    <row r="251" spans="1:25">
      <c r="A251" s="777"/>
      <c r="B251" s="777"/>
      <c r="C251" s="777"/>
      <c r="D251" s="777"/>
      <c r="E251" s="777"/>
      <c r="H251" s="777"/>
      <c r="V251" s="854"/>
      <c r="X251" s="854"/>
      <c r="Y251" s="854"/>
    </row>
    <row r="252" spans="1:25">
      <c r="A252" s="777"/>
      <c r="B252" s="777"/>
      <c r="C252" s="777"/>
      <c r="D252" s="777"/>
      <c r="E252" s="777"/>
      <c r="H252" s="777"/>
      <c r="V252" s="854"/>
      <c r="X252" s="854"/>
      <c r="Y252" s="854"/>
    </row>
    <row r="253" spans="1:25">
      <c r="A253" s="777"/>
      <c r="B253" s="777"/>
      <c r="C253" s="777"/>
      <c r="D253" s="777"/>
      <c r="E253" s="777"/>
      <c r="H253" s="777"/>
      <c r="V253" s="854"/>
      <c r="X253" s="854"/>
      <c r="Y253" s="854"/>
    </row>
    <row r="254" spans="1:25">
      <c r="A254" s="777"/>
      <c r="B254" s="777"/>
      <c r="C254" s="777"/>
      <c r="D254" s="777"/>
      <c r="E254" s="777"/>
      <c r="H254" s="777"/>
      <c r="V254" s="854"/>
      <c r="X254" s="854"/>
      <c r="Y254" s="854"/>
    </row>
    <row r="255" spans="1:25">
      <c r="A255" s="777"/>
      <c r="B255" s="777"/>
      <c r="C255" s="777"/>
      <c r="D255" s="777"/>
      <c r="E255" s="777"/>
      <c r="H255" s="777"/>
      <c r="V255" s="854"/>
      <c r="X255" s="854"/>
      <c r="Y255" s="854"/>
    </row>
    <row r="256" spans="1:25">
      <c r="A256" s="777"/>
      <c r="B256" s="777"/>
      <c r="C256" s="777"/>
      <c r="D256" s="777"/>
      <c r="E256" s="777"/>
      <c r="H256" s="777"/>
      <c r="V256" s="854"/>
      <c r="X256" s="854"/>
      <c r="Y256" s="854"/>
    </row>
    <row r="257" spans="1:25">
      <c r="A257" s="777"/>
      <c r="B257" s="777"/>
      <c r="C257" s="777"/>
      <c r="D257" s="777"/>
      <c r="E257" s="777"/>
      <c r="H257" s="777"/>
      <c r="V257" s="854"/>
      <c r="X257" s="854"/>
      <c r="Y257" s="854"/>
    </row>
    <row r="258" spans="1:25">
      <c r="A258" s="777"/>
      <c r="B258" s="777"/>
      <c r="C258" s="777"/>
      <c r="D258" s="777"/>
      <c r="E258" s="777"/>
      <c r="H258" s="777"/>
      <c r="V258" s="854"/>
      <c r="X258" s="854"/>
      <c r="Y258" s="854"/>
    </row>
    <row r="259" spans="1:25">
      <c r="A259" s="777"/>
      <c r="B259" s="777"/>
      <c r="C259" s="777"/>
      <c r="D259" s="777"/>
      <c r="E259" s="777"/>
      <c r="H259" s="777"/>
      <c r="V259" s="854"/>
      <c r="X259" s="854"/>
      <c r="Y259" s="854"/>
    </row>
    <row r="260" spans="1:25">
      <c r="A260" s="777"/>
      <c r="B260" s="777"/>
      <c r="C260" s="777"/>
      <c r="D260" s="777"/>
      <c r="E260" s="777"/>
      <c r="H260" s="777"/>
      <c r="V260" s="854"/>
      <c r="X260" s="854"/>
      <c r="Y260" s="854"/>
    </row>
    <row r="261" spans="1:25">
      <c r="A261" s="777"/>
      <c r="B261" s="777"/>
      <c r="C261" s="777"/>
      <c r="D261" s="777"/>
      <c r="E261" s="777"/>
      <c r="H261" s="777"/>
      <c r="V261" s="854"/>
      <c r="X261" s="854"/>
      <c r="Y261" s="854"/>
    </row>
    <row r="262" spans="1:25">
      <c r="A262" s="777"/>
      <c r="B262" s="777"/>
      <c r="C262" s="777"/>
      <c r="D262" s="777"/>
      <c r="E262" s="777"/>
      <c r="H262" s="777"/>
      <c r="V262" s="854"/>
      <c r="X262" s="854"/>
      <c r="Y262" s="854"/>
    </row>
    <row r="263" spans="1:25">
      <c r="A263" s="777"/>
      <c r="Y263" s="854"/>
    </row>
    <row r="264" spans="1:25">
      <c r="A264" s="777"/>
      <c r="Y264" s="854"/>
    </row>
    <row r="265" spans="1:25">
      <c r="A265" s="777"/>
      <c r="Y265" s="854"/>
    </row>
    <row r="266" spans="1:25">
      <c r="A266" s="777"/>
      <c r="Y266" s="854"/>
    </row>
    <row r="267" spans="1:25">
      <c r="A267" s="777"/>
      <c r="Y267" s="854"/>
    </row>
    <row r="268" spans="1:25">
      <c r="A268" s="777"/>
      <c r="Y268" s="854"/>
    </row>
    <row r="269" spans="1:25">
      <c r="A269" s="777"/>
      <c r="Y269" s="854"/>
    </row>
    <row r="270" spans="1:25">
      <c r="A270" s="777"/>
      <c r="Y270" s="854"/>
    </row>
    <row r="271" spans="1:25">
      <c r="A271" s="777"/>
      <c r="Y271" s="854"/>
    </row>
    <row r="272" spans="1:25">
      <c r="A272" s="777"/>
      <c r="Y272" s="854"/>
    </row>
    <row r="273" spans="1:25">
      <c r="A273" s="777"/>
      <c r="Y273" s="854"/>
    </row>
    <row r="274" spans="1:25">
      <c r="A274" s="777"/>
      <c r="Y274" s="854"/>
    </row>
    <row r="275" spans="1:25">
      <c r="A275" s="777"/>
      <c r="Y275" s="854"/>
    </row>
    <row r="276" spans="1:25">
      <c r="A276" s="777"/>
      <c r="Y276" s="854"/>
    </row>
    <row r="277" spans="1:25">
      <c r="A277" s="777"/>
      <c r="Y277" s="854"/>
    </row>
    <row r="278" spans="1:25">
      <c r="A278" s="777"/>
      <c r="Y278" s="854"/>
    </row>
    <row r="279" spans="1:25">
      <c r="A279" s="777"/>
      <c r="Y279" s="854"/>
    </row>
    <row r="280" spans="1:25">
      <c r="A280" s="777"/>
      <c r="Y280" s="854"/>
    </row>
    <row r="281" spans="1:25">
      <c r="A281" s="777"/>
      <c r="Y281" s="854"/>
    </row>
    <row r="282" spans="1:25">
      <c r="A282" s="777"/>
      <c r="Y282" s="854"/>
    </row>
    <row r="283" spans="1:25">
      <c r="A283" s="777"/>
      <c r="Y283" s="854"/>
    </row>
    <row r="284" spans="1:25">
      <c r="A284" s="777"/>
      <c r="Y284" s="854"/>
    </row>
    <row r="285" spans="1:25">
      <c r="A285" s="777"/>
      <c r="Y285" s="854"/>
    </row>
    <row r="286" spans="1:25">
      <c r="A286" s="777"/>
      <c r="Y286" s="854"/>
    </row>
    <row r="287" spans="1:25">
      <c r="A287" s="777"/>
      <c r="Y287" s="854"/>
    </row>
    <row r="288" spans="1:25">
      <c r="A288" s="777"/>
      <c r="Y288" s="854"/>
    </row>
    <row r="289" spans="1:25">
      <c r="A289" s="777"/>
      <c r="Y289" s="854"/>
    </row>
    <row r="290" spans="1:25">
      <c r="A290" s="777"/>
      <c r="Y290" s="854"/>
    </row>
    <row r="291" spans="1:25">
      <c r="A291" s="777"/>
      <c r="Y291" s="854"/>
    </row>
    <row r="292" spans="1:25">
      <c r="A292" s="777"/>
      <c r="Y292" s="854"/>
    </row>
    <row r="293" spans="1:25">
      <c r="A293" s="777"/>
      <c r="Y293" s="854"/>
    </row>
    <row r="294" spans="1:25">
      <c r="A294" s="777"/>
      <c r="Y294" s="854"/>
    </row>
    <row r="295" spans="1:25">
      <c r="A295" s="777"/>
      <c r="Y295" s="854"/>
    </row>
    <row r="296" spans="1:25">
      <c r="A296" s="777"/>
      <c r="Y296" s="854"/>
    </row>
    <row r="297" spans="1:25">
      <c r="A297" s="777"/>
      <c r="Y297" s="854"/>
    </row>
  </sheetData>
  <mergeCells count="3">
    <mergeCell ref="Z3:Z4"/>
    <mergeCell ref="F3:V3"/>
    <mergeCell ref="C1:N1"/>
  </mergeCells>
  <conditionalFormatting sqref="G5:G20 I5:V20">
    <cfRule type="expression" dxfId="9" priority="23">
      <formula>G5=0</formula>
    </cfRule>
    <cfRule type="expression" dxfId="8" priority="24">
      <formula>G5&gt;=#REF!</formula>
    </cfRule>
  </conditionalFormatting>
  <conditionalFormatting sqref="S5:S20 G5:H20 J5:K20">
    <cfRule type="expression" dxfId="7" priority="22">
      <formula>G5&gt;=#REF!</formula>
    </cfRule>
  </conditionalFormatting>
  <conditionalFormatting sqref="G5:G20 S5:S20 J5:K20">
    <cfRule type="expression" dxfId="6" priority="21">
      <formula>G5=0</formula>
    </cfRule>
  </conditionalFormatting>
  <pageMargins left="0" right="0" top="0.39370078740157483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7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H54" sqref="H54"/>
    </sheetView>
  </sheetViews>
  <sheetFormatPr defaultColWidth="9.140625" defaultRowHeight="12.75"/>
  <cols>
    <col min="1" max="1" width="5.7109375" style="568" customWidth="1"/>
    <col min="2" max="2" width="54.7109375" style="568" customWidth="1"/>
    <col min="3" max="3" width="7.85546875" style="568" customWidth="1"/>
    <col min="4" max="4" width="7.7109375" style="568" customWidth="1"/>
    <col min="5" max="5" width="7" style="568" customWidth="1"/>
    <col min="6" max="6" width="7.140625" style="568" customWidth="1"/>
    <col min="7" max="7" width="7" style="568" customWidth="1"/>
    <col min="8" max="8" width="9.42578125" style="568" customWidth="1"/>
    <col min="9" max="9" width="9.140625" style="568"/>
    <col min="10" max="10" width="11" style="568" customWidth="1"/>
    <col min="11" max="11" width="8.85546875" style="568" bestFit="1" customWidth="1"/>
    <col min="12" max="16384" width="9.140625" style="568"/>
  </cols>
  <sheetData>
    <row r="1" spans="1:13" ht="19.5" customHeight="1">
      <c r="A1" s="800" t="s">
        <v>39</v>
      </c>
      <c r="B1" s="800" t="s">
        <v>22</v>
      </c>
      <c r="C1" s="802" t="s">
        <v>40</v>
      </c>
      <c r="D1" s="800" t="s">
        <v>23</v>
      </c>
      <c r="E1" s="800" t="s">
        <v>580</v>
      </c>
      <c r="F1" s="800" t="s">
        <v>24</v>
      </c>
      <c r="G1" s="800"/>
      <c r="H1" s="764"/>
      <c r="I1" s="800" t="s">
        <v>554</v>
      </c>
      <c r="J1" s="800" t="s">
        <v>555</v>
      </c>
      <c r="K1" s="800" t="s">
        <v>525</v>
      </c>
      <c r="L1" s="569" t="s">
        <v>569</v>
      </c>
    </row>
    <row r="2" spans="1:13" ht="83.25" customHeight="1">
      <c r="A2" s="800"/>
      <c r="B2" s="800"/>
      <c r="C2" s="803"/>
      <c r="D2" s="800"/>
      <c r="E2" s="800"/>
      <c r="F2" s="764" t="s">
        <v>556</v>
      </c>
      <c r="G2" s="764" t="s">
        <v>557</v>
      </c>
      <c r="H2" s="764"/>
      <c r="I2" s="800"/>
      <c r="J2" s="800"/>
      <c r="K2" s="800"/>
      <c r="L2" s="765" t="e">
        <f>#REF!</f>
        <v>#REF!</v>
      </c>
    </row>
    <row r="3" spans="1:13">
      <c r="A3" s="581">
        <v>1</v>
      </c>
      <c r="B3" s="581">
        <v>2</v>
      </c>
      <c r="C3" s="581">
        <v>3</v>
      </c>
      <c r="D3" s="581">
        <v>4</v>
      </c>
      <c r="E3" s="581">
        <v>5</v>
      </c>
      <c r="F3" s="581">
        <v>6</v>
      </c>
      <c r="G3" s="581">
        <v>7</v>
      </c>
      <c r="H3" s="611"/>
      <c r="I3" s="581">
        <v>8</v>
      </c>
      <c r="J3" s="581">
        <v>9</v>
      </c>
      <c r="K3" s="581">
        <v>10</v>
      </c>
      <c r="L3" s="581">
        <v>11</v>
      </c>
    </row>
    <row r="4" spans="1:13" ht="15.75">
      <c r="A4" s="801" t="s">
        <v>570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568" t="s">
        <v>715</v>
      </c>
    </row>
    <row r="5" spans="1:13">
      <c r="A5" s="583" t="s">
        <v>558</v>
      </c>
      <c r="B5" s="586" t="s">
        <v>567</v>
      </c>
      <c r="C5" s="570"/>
      <c r="D5" s="571"/>
      <c r="E5" s="571"/>
      <c r="F5" s="571"/>
      <c r="G5" s="571"/>
      <c r="H5" s="571"/>
      <c r="I5" s="571"/>
      <c r="J5" s="571"/>
      <c r="K5" s="584"/>
      <c r="M5" s="568" t="s">
        <v>715</v>
      </c>
    </row>
    <row r="6" spans="1:13">
      <c r="A6" s="587"/>
      <c r="B6" s="575" t="s">
        <v>566</v>
      </c>
      <c r="C6" s="587" t="e">
        <f>VLOOKUP(L6,#REF!,COLUMN(#REF!))</f>
        <v>#REF!</v>
      </c>
      <c r="D6" s="587" t="e">
        <f>VLOOKUP(L6,#REF!,COLUMN(#REF!))</f>
        <v>#REF!</v>
      </c>
      <c r="E6" s="587" t="e">
        <f>VLOOKUP(L6,#REF!,COLUMN(#REF!))</f>
        <v>#REF!</v>
      </c>
      <c r="F6" s="594"/>
      <c r="G6" s="766" t="e">
        <f>VLOOKUP(H6,#REF!,7)</f>
        <v>#REF!</v>
      </c>
      <c r="H6" s="585" t="s">
        <v>568</v>
      </c>
      <c r="I6" s="590" t="e">
        <f>IF(ISNA(MATCH(K6,#REF!,0)),"нет такого кода",INDEX(#REF!,MATCH(K6,#REF!,0)))</f>
        <v>#REF!</v>
      </c>
      <c r="J6" s="591" t="e">
        <f t="shared" ref="J6:J14" si="0">F6/E6*G6*I6</f>
        <v>#REF!</v>
      </c>
      <c r="K6" s="579" t="e">
        <f>IF(ISNA(MATCH(L6,#REF!,0)),"нет такого кода",INDEX(#REF!,MATCH(L6,#REF!,0)))</f>
        <v>#REF!</v>
      </c>
      <c r="L6" s="592">
        <v>1</v>
      </c>
      <c r="M6" s="602" t="e">
        <f>VLOOKUP(L6,#REF!,COLUMN(#REF!))</f>
        <v>#REF!</v>
      </c>
    </row>
    <row r="7" spans="1:13">
      <c r="A7" s="587"/>
      <c r="B7" s="575"/>
      <c r="C7" s="587" t="e">
        <f>VLOOKUP(L7,#REF!,COLUMN(#REF!))</f>
        <v>#REF!</v>
      </c>
      <c r="D7" s="587" t="e">
        <f>VLOOKUP(L7,#REF!,COLUMN(#REF!))</f>
        <v>#REF!</v>
      </c>
      <c r="E7" s="587" t="e">
        <f>VLOOKUP(L7,#REF!,COLUMN(#REF!))</f>
        <v>#REF!</v>
      </c>
      <c r="F7" s="767" t="e">
        <f>IF(ISNA(MATCH($L$2,#REF!,0)),"нет такого кода",INDEX(#REF!,MATCH(Чис_двірн!$L$2,#REF!,0)))</f>
        <v>#REF!</v>
      </c>
      <c r="G7" s="766" t="e">
        <f>VLOOKUP($H$6,#REF!,7)</f>
        <v>#REF!</v>
      </c>
      <c r="H7" s="585" t="s">
        <v>568</v>
      </c>
      <c r="I7" s="590" t="e">
        <f>IF(ISNA(MATCH(K7,#REF!,0)),"нет такого кода",INDEX(#REF!,MATCH(K7,#REF!,0)))</f>
        <v>#REF!</v>
      </c>
      <c r="J7" s="768" t="e">
        <f t="shared" si="0"/>
        <v>#REF!</v>
      </c>
      <c r="K7" s="579" t="e">
        <f>IF(ISNA(MATCH(L7,#REF!,0)),"нет такого кода",INDEX(#REF!,MATCH(L7,#REF!,0)))</f>
        <v>#REF!</v>
      </c>
      <c r="L7" s="592">
        <v>2</v>
      </c>
      <c r="M7" s="602" t="e">
        <f>VLOOKUP(L7,#REF!,COLUMN(#REF!))</f>
        <v>#REF!</v>
      </c>
    </row>
    <row r="8" spans="1:13">
      <c r="A8" s="587"/>
      <c r="B8" s="575"/>
      <c r="C8" s="587" t="e">
        <f>VLOOKUP(L8,#REF!,COLUMN(#REF!))</f>
        <v>#REF!</v>
      </c>
      <c r="D8" s="587" t="e">
        <f>VLOOKUP(L8,#REF!,COLUMN(#REF!))</f>
        <v>#REF!</v>
      </c>
      <c r="E8" s="587" t="e">
        <f>VLOOKUP(L8,#REF!,COLUMN(#REF!))</f>
        <v>#REF!</v>
      </c>
      <c r="F8" s="594">
        <v>0</v>
      </c>
      <c r="G8" s="766" t="e">
        <f>VLOOKUP($H$6,#REF!,7)</f>
        <v>#REF!</v>
      </c>
      <c r="H8" s="585" t="s">
        <v>568</v>
      </c>
      <c r="I8" s="590" t="e">
        <f>IF(ISNA(MATCH(K8,#REF!,0)),"нет такого кода",INDEX(#REF!,MATCH(K8,#REF!,0)))</f>
        <v>#REF!</v>
      </c>
      <c r="J8" s="591" t="e">
        <f t="shared" si="0"/>
        <v>#REF!</v>
      </c>
      <c r="K8" s="579" t="e">
        <f>IF(ISNA(MATCH(L8,#REF!,0)),"нет такого кода",INDEX(#REF!,MATCH(L8,#REF!,0)))</f>
        <v>#REF!</v>
      </c>
      <c r="L8" s="592">
        <v>3</v>
      </c>
      <c r="M8" s="602" t="e">
        <f>VLOOKUP(L8,#REF!,COLUMN(#REF!))</f>
        <v>#REF!</v>
      </c>
    </row>
    <row r="9" spans="1:13">
      <c r="A9" s="587"/>
      <c r="B9" s="575" t="s">
        <v>565</v>
      </c>
      <c r="C9" s="587" t="e">
        <f>VLOOKUP(L9,#REF!,COLUMN(#REF!))</f>
        <v>#REF!</v>
      </c>
      <c r="D9" s="587" t="e">
        <f>VLOOKUP(L9,#REF!,COLUMN(#REF!))</f>
        <v>#REF!</v>
      </c>
      <c r="E9" s="587" t="e">
        <f>VLOOKUP(L9,#REF!,COLUMN(#REF!))</f>
        <v>#REF!</v>
      </c>
      <c r="F9" s="594">
        <v>0</v>
      </c>
      <c r="G9" s="766" t="e">
        <f>VLOOKUP($H$6,#REF!,7)</f>
        <v>#REF!</v>
      </c>
      <c r="H9" s="585" t="s">
        <v>568</v>
      </c>
      <c r="I9" s="590" t="e">
        <f>IF(ISNA(MATCH(K9,#REF!,0)),"нет такого кода",INDEX(#REF!,MATCH(K9,#REF!,0)))</f>
        <v>#REF!</v>
      </c>
      <c r="J9" s="591" t="e">
        <f t="shared" si="0"/>
        <v>#REF!</v>
      </c>
      <c r="K9" s="579" t="e">
        <f>IF(ISNA(MATCH(L9,#REF!,0)),"нет такого кода",INDEX(#REF!,MATCH(L9,#REF!,0)))</f>
        <v>#REF!</v>
      </c>
      <c r="L9" s="592">
        <v>4</v>
      </c>
      <c r="M9" s="602" t="e">
        <f>VLOOKUP(L9,#REF!,COLUMN(#REF!))</f>
        <v>#REF!</v>
      </c>
    </row>
    <row r="10" spans="1:13">
      <c r="A10" s="587"/>
      <c r="B10" s="575"/>
      <c r="C10" s="587" t="e">
        <f>VLOOKUP(L10,#REF!,COLUMN(#REF!))</f>
        <v>#REF!</v>
      </c>
      <c r="D10" s="587" t="e">
        <f>VLOOKUP(L10,#REF!,COLUMN(#REF!))</f>
        <v>#REF!</v>
      </c>
      <c r="E10" s="587" t="e">
        <f>VLOOKUP(L10,#REF!,COLUMN(#REF!))</f>
        <v>#REF!</v>
      </c>
      <c r="F10" s="767" t="e">
        <f>IF(ISNA(MATCH($L$2,#REF!,0)),"нет такого кода",INDEX(#REF!,MATCH(Чис_двірн!$L$2,#REF!,0)))</f>
        <v>#REF!</v>
      </c>
      <c r="G10" s="766" t="e">
        <f>VLOOKUP($H$6,#REF!,7)</f>
        <v>#REF!</v>
      </c>
      <c r="H10" s="585" t="s">
        <v>568</v>
      </c>
      <c r="I10" s="590" t="e">
        <f>IF(ISNA(MATCH(K10,#REF!,0)),"нет такого кода",INDEX(#REF!,MATCH(K10,#REF!,0)))</f>
        <v>#REF!</v>
      </c>
      <c r="J10" s="768" t="e">
        <f t="shared" si="0"/>
        <v>#REF!</v>
      </c>
      <c r="K10" s="579" t="e">
        <f>IF(ISNA(MATCH(L10,#REF!,0)),"нет такого кода",INDEX(#REF!,MATCH(L10,#REF!,0)))</f>
        <v>#REF!</v>
      </c>
      <c r="L10" s="592">
        <v>5</v>
      </c>
      <c r="M10" s="602" t="e">
        <f>VLOOKUP(L10,#REF!,COLUMN(#REF!))</f>
        <v>#REF!</v>
      </c>
    </row>
    <row r="11" spans="1:13">
      <c r="A11" s="587"/>
      <c r="B11" s="575"/>
      <c r="C11" s="587" t="e">
        <f>VLOOKUP(L11,#REF!,COLUMN(#REF!))</f>
        <v>#REF!</v>
      </c>
      <c r="D11" s="587" t="e">
        <f>VLOOKUP(L11,#REF!,COLUMN(#REF!))</f>
        <v>#REF!</v>
      </c>
      <c r="E11" s="587" t="e">
        <f>VLOOKUP(L11,#REF!,COLUMN(#REF!))</f>
        <v>#REF!</v>
      </c>
      <c r="F11" s="594">
        <v>0</v>
      </c>
      <c r="G11" s="766" t="e">
        <f>VLOOKUP($H$6,#REF!,7)</f>
        <v>#REF!</v>
      </c>
      <c r="H11" s="585" t="s">
        <v>568</v>
      </c>
      <c r="I11" s="590" t="e">
        <f>IF(ISNA(MATCH(K11,#REF!,0)),"нет такого кода",INDEX(#REF!,MATCH(K11,#REF!,0)))</f>
        <v>#REF!</v>
      </c>
      <c r="J11" s="591" t="e">
        <f t="shared" si="0"/>
        <v>#REF!</v>
      </c>
      <c r="K11" s="579" t="e">
        <f>IF(ISNA(MATCH(L11,#REF!,0)),"нет такого кода",INDEX(#REF!,MATCH(L11,#REF!,0)))</f>
        <v>#REF!</v>
      </c>
      <c r="L11" s="592">
        <v>6</v>
      </c>
      <c r="M11" s="602" t="e">
        <f>VLOOKUP(L11,#REF!,COLUMN(#REF!))</f>
        <v>#REF!</v>
      </c>
    </row>
    <row r="12" spans="1:13">
      <c r="A12" s="587"/>
      <c r="B12" s="575" t="s">
        <v>564</v>
      </c>
      <c r="C12" s="587" t="e">
        <f>VLOOKUP(L12,#REF!,COLUMN(#REF!))</f>
        <v>#REF!</v>
      </c>
      <c r="D12" s="587" t="e">
        <f>VLOOKUP(L12,#REF!,COLUMN(#REF!))</f>
        <v>#REF!</v>
      </c>
      <c r="E12" s="587" t="e">
        <f>VLOOKUP(L12,#REF!,COLUMN(#REF!))</f>
        <v>#REF!</v>
      </c>
      <c r="F12" s="594">
        <v>0</v>
      </c>
      <c r="G12" s="766" t="e">
        <f>VLOOKUP($H$6,#REF!,7)</f>
        <v>#REF!</v>
      </c>
      <c r="H12" s="585" t="s">
        <v>568</v>
      </c>
      <c r="I12" s="590" t="e">
        <f>IF(ISNA(MATCH(K12,#REF!,0)),"нет такого кода",INDEX(#REF!,MATCH(K12,#REF!,0)))</f>
        <v>#REF!</v>
      </c>
      <c r="J12" s="591" t="e">
        <f t="shared" si="0"/>
        <v>#REF!</v>
      </c>
      <c r="K12" s="579" t="e">
        <f>IF(ISNA(MATCH(L12,#REF!,0)),"нет такого кода",INDEX(#REF!,MATCH(L12,#REF!,0)))</f>
        <v>#REF!</v>
      </c>
      <c r="L12" s="592">
        <v>7</v>
      </c>
      <c r="M12" s="602" t="e">
        <f>VLOOKUP(L12,#REF!,COLUMN(#REF!))</f>
        <v>#REF!</v>
      </c>
    </row>
    <row r="13" spans="1:13">
      <c r="A13" s="587"/>
      <c r="B13" s="575"/>
      <c r="C13" s="587" t="e">
        <f>VLOOKUP(L13,#REF!,COLUMN(#REF!))</f>
        <v>#REF!</v>
      </c>
      <c r="D13" s="587" t="e">
        <f>VLOOKUP(L13,#REF!,COLUMN(#REF!))</f>
        <v>#REF!</v>
      </c>
      <c r="E13" s="587" t="e">
        <f>VLOOKUP(L13,#REF!,COLUMN(#REF!))</f>
        <v>#REF!</v>
      </c>
      <c r="F13" s="767" t="e">
        <f>IF(ISNA(MATCH($L$2,#REF!,0)),"нет такого кода",INDEX(#REF!,MATCH(Чис_двірн!$L$2,#REF!,0)))</f>
        <v>#REF!</v>
      </c>
      <c r="G13" s="766" t="e">
        <f>VLOOKUP($H$6,#REF!,7)</f>
        <v>#REF!</v>
      </c>
      <c r="H13" s="585" t="s">
        <v>568</v>
      </c>
      <c r="I13" s="590" t="e">
        <f>IF(ISNA(MATCH(K13,#REF!,0)),"нет такого кода",INDEX(#REF!,MATCH(K13,#REF!,0)))</f>
        <v>#REF!</v>
      </c>
      <c r="J13" s="768" t="e">
        <f t="shared" si="0"/>
        <v>#REF!</v>
      </c>
      <c r="K13" s="579" t="e">
        <f>IF(ISNA(MATCH(L13,#REF!,0)),"нет такого кода",INDEX(#REF!,MATCH(L13,#REF!,0)))</f>
        <v>#REF!</v>
      </c>
      <c r="L13" s="592">
        <v>8</v>
      </c>
      <c r="M13" s="602" t="e">
        <f>VLOOKUP(L13,#REF!,COLUMN(#REF!))</f>
        <v>#REF!</v>
      </c>
    </row>
    <row r="14" spans="1:13">
      <c r="A14" s="587"/>
      <c r="B14" s="575"/>
      <c r="C14" s="587" t="e">
        <f>VLOOKUP(L14,#REF!,COLUMN(#REF!))</f>
        <v>#REF!</v>
      </c>
      <c r="D14" s="587" t="e">
        <f>VLOOKUP(L14,#REF!,COLUMN(#REF!))</f>
        <v>#REF!</v>
      </c>
      <c r="E14" s="587" t="e">
        <f>VLOOKUP(L14,#REF!,COLUMN(#REF!))</f>
        <v>#REF!</v>
      </c>
      <c r="F14" s="594">
        <v>0</v>
      </c>
      <c r="G14" s="766" t="e">
        <f>VLOOKUP($H$6,#REF!,7)</f>
        <v>#REF!</v>
      </c>
      <c r="H14" s="585" t="s">
        <v>568</v>
      </c>
      <c r="I14" s="590" t="e">
        <f>IF(ISNA(MATCH(K14,#REF!,0)),"нет такого кода",INDEX(#REF!,MATCH(K14,#REF!,0)))</f>
        <v>#REF!</v>
      </c>
      <c r="J14" s="591" t="e">
        <f t="shared" si="0"/>
        <v>#REF!</v>
      </c>
      <c r="K14" s="579" t="e">
        <f>IF(ISNA(MATCH(L14,#REF!,0)),"нет такого кода",INDEX(#REF!,MATCH(L14,#REF!,0)))</f>
        <v>#REF!</v>
      </c>
      <c r="L14" s="592">
        <v>9</v>
      </c>
      <c r="M14" s="602" t="e">
        <f>VLOOKUP(L14,#REF!,COLUMN(#REF!))</f>
        <v>#REF!</v>
      </c>
    </row>
    <row r="15" spans="1:13">
      <c r="A15" s="587" t="s">
        <v>559</v>
      </c>
      <c r="B15" s="593" t="s">
        <v>573</v>
      </c>
      <c r="C15" s="575"/>
      <c r="D15" s="587"/>
      <c r="E15" s="587"/>
      <c r="F15" s="594"/>
      <c r="G15" s="594"/>
      <c r="H15" s="594"/>
      <c r="I15" s="594"/>
      <c r="J15" s="594"/>
      <c r="K15" s="594"/>
      <c r="L15" s="592"/>
      <c r="M15" s="602" t="s">
        <v>715</v>
      </c>
    </row>
    <row r="16" spans="1:13">
      <c r="A16" s="587"/>
      <c r="B16" s="575" t="s">
        <v>566</v>
      </c>
      <c r="C16" s="587" t="e">
        <f>VLOOKUP(L16,#REF!,COLUMN(#REF!))</f>
        <v>#REF!</v>
      </c>
      <c r="D16" s="587" t="e">
        <f>VLOOKUP(L16,#REF!,COLUMN(#REF!))</f>
        <v>#REF!</v>
      </c>
      <c r="E16" s="587" t="e">
        <f>VLOOKUP(L16,#REF!,COLUMN(#REF!))</f>
        <v>#REF!</v>
      </c>
      <c r="F16" s="594"/>
      <c r="G16" s="766" t="e">
        <f>VLOOKUP($H$6,#REF!,7)</f>
        <v>#REF!</v>
      </c>
      <c r="H16" s="585" t="s">
        <v>568</v>
      </c>
      <c r="I16" s="590" t="e">
        <f>IF(ISNA(MATCH(K16,#REF!,0)),"нет такого кода",INDEX(#REF!,MATCH(K16,#REF!,0)))</f>
        <v>#REF!</v>
      </c>
      <c r="J16" s="591"/>
      <c r="K16" s="579" t="e">
        <f>IF(ISNA(MATCH(L16,#REF!,0)),"нет такого кода",INDEX(#REF!,MATCH(L16,#REF!,0)))</f>
        <v>#REF!</v>
      </c>
      <c r="L16" s="592">
        <v>10</v>
      </c>
      <c r="M16" s="602" t="e">
        <f>VLOOKUP(L16,#REF!,COLUMN(#REF!))</f>
        <v>#REF!</v>
      </c>
    </row>
    <row r="17" spans="1:14">
      <c r="A17" s="587"/>
      <c r="B17" s="575"/>
      <c r="C17" s="587" t="e">
        <f>VLOOKUP(L17,#REF!,COLUMN(#REF!))</f>
        <v>#REF!</v>
      </c>
      <c r="D17" s="587" t="e">
        <f>VLOOKUP(L17,#REF!,COLUMN(#REF!))</f>
        <v>#REF!</v>
      </c>
      <c r="E17" s="587" t="e">
        <f>VLOOKUP(L17,#REF!,COLUMN(#REF!))</f>
        <v>#REF!</v>
      </c>
      <c r="F17" s="767" t="e">
        <f>IF(ISNA(MATCH($L$2,#REF!,0)),"нет такого кода",INDEX(#REF!,MATCH(Чис_двірн!$L$2,#REF!,0)))</f>
        <v>#REF!</v>
      </c>
      <c r="G17" s="766" t="e">
        <f>VLOOKUP($H$6,#REF!,7)</f>
        <v>#REF!</v>
      </c>
      <c r="H17" s="585" t="s">
        <v>568</v>
      </c>
      <c r="I17" s="590" t="e">
        <f>IF(ISNA(MATCH(K17,#REF!,0)),"нет такого кода",INDEX(#REF!,MATCH(K17,#REF!,0)))</f>
        <v>#REF!</v>
      </c>
      <c r="J17" s="768" t="e">
        <f>F17/E17*G17*I17</f>
        <v>#REF!</v>
      </c>
      <c r="K17" s="579" t="e">
        <f>IF(ISNA(MATCH(L17,#REF!,0)),"нет такого кода",INDEX(#REF!,MATCH(L17,#REF!,0)))</f>
        <v>#REF!</v>
      </c>
      <c r="L17" s="592">
        <v>11</v>
      </c>
      <c r="M17" s="602" t="e">
        <f>VLOOKUP(L17,#REF!,COLUMN(#REF!))</f>
        <v>#REF!</v>
      </c>
    </row>
    <row r="18" spans="1:14">
      <c r="A18" s="587"/>
      <c r="B18" s="575"/>
      <c r="C18" s="587" t="e">
        <f>VLOOKUP(L18,#REF!,COLUMN(#REF!))</f>
        <v>#REF!</v>
      </c>
      <c r="D18" s="587" t="e">
        <f>VLOOKUP(L18,#REF!,COLUMN(#REF!))</f>
        <v>#REF!</v>
      </c>
      <c r="E18" s="587" t="e">
        <f>VLOOKUP(L18,#REF!,COLUMN(#REF!))</f>
        <v>#REF!</v>
      </c>
      <c r="F18" s="594"/>
      <c r="G18" s="766" t="e">
        <f>VLOOKUP($H$6,#REF!,7)</f>
        <v>#REF!</v>
      </c>
      <c r="H18" s="585" t="s">
        <v>568</v>
      </c>
      <c r="I18" s="590" t="e">
        <f>IF(ISNA(MATCH(K18,#REF!,0)),"нет такого кода",INDEX(#REF!,MATCH(K18,#REF!,0)))</f>
        <v>#REF!</v>
      </c>
      <c r="J18" s="591"/>
      <c r="K18" s="579" t="e">
        <f>IF(ISNA(MATCH(L18,#REF!,0)),"нет такого кода",INDEX(#REF!,MATCH(L18,#REF!,0)))</f>
        <v>#REF!</v>
      </c>
      <c r="L18" s="592">
        <v>12</v>
      </c>
      <c r="M18" s="602" t="e">
        <f>VLOOKUP(L18,#REF!,COLUMN(#REF!))</f>
        <v>#REF!</v>
      </c>
    </row>
    <row r="19" spans="1:14">
      <c r="A19" s="587"/>
      <c r="B19" s="575" t="s">
        <v>565</v>
      </c>
      <c r="C19" s="587" t="e">
        <f>VLOOKUP(L19,#REF!,COLUMN(#REF!))</f>
        <v>#REF!</v>
      </c>
      <c r="D19" s="587" t="e">
        <f>VLOOKUP(L19,#REF!,COLUMN(#REF!))</f>
        <v>#REF!</v>
      </c>
      <c r="E19" s="587" t="e">
        <f>VLOOKUP(L19,#REF!,COLUMN(#REF!))</f>
        <v>#REF!</v>
      </c>
      <c r="F19" s="594"/>
      <c r="G19" s="766" t="e">
        <f>VLOOKUP($H$6,#REF!,7)</f>
        <v>#REF!</v>
      </c>
      <c r="H19" s="585" t="s">
        <v>568</v>
      </c>
      <c r="I19" s="590" t="e">
        <f>IF(ISNA(MATCH(K19,#REF!,0)),"нет такого кода",INDEX(#REF!,MATCH(K19,#REF!,0)))</f>
        <v>#REF!</v>
      </c>
      <c r="J19" s="591"/>
      <c r="K19" s="579" t="e">
        <f>IF(ISNA(MATCH(L19,#REF!,0)),"нет такого кода",INDEX(#REF!,MATCH(L19,#REF!,0)))</f>
        <v>#REF!</v>
      </c>
      <c r="L19" s="592">
        <v>13</v>
      </c>
      <c r="M19" s="602" t="e">
        <f>VLOOKUP(L19,#REF!,COLUMN(#REF!))</f>
        <v>#REF!</v>
      </c>
    </row>
    <row r="20" spans="1:14">
      <c r="A20" s="587"/>
      <c r="B20" s="575"/>
      <c r="C20" s="587" t="e">
        <f>VLOOKUP(L20,#REF!,COLUMN(#REF!))</f>
        <v>#REF!</v>
      </c>
      <c r="D20" s="587" t="e">
        <f>VLOOKUP(L20,#REF!,COLUMN(#REF!))</f>
        <v>#REF!</v>
      </c>
      <c r="E20" s="587" t="e">
        <f>VLOOKUP(L20,#REF!,COLUMN(#REF!))</f>
        <v>#REF!</v>
      </c>
      <c r="F20" s="767" t="e">
        <f>IF(ISNA(MATCH($L$2,#REF!,0)),"нет такого кода",INDEX(#REF!,MATCH(Чис_двірн!$L$2,#REF!,0)))</f>
        <v>#REF!</v>
      </c>
      <c r="G20" s="766" t="e">
        <f>VLOOKUP($H$6,#REF!,7)</f>
        <v>#REF!</v>
      </c>
      <c r="H20" s="585" t="s">
        <v>568</v>
      </c>
      <c r="I20" s="590" t="e">
        <f>IF(ISNA(MATCH(K20,#REF!,0)),"нет такого кода",INDEX(#REF!,MATCH(K20,#REF!,0)))</f>
        <v>#REF!</v>
      </c>
      <c r="J20" s="768" t="e">
        <f>F20/E20*G20*I20</f>
        <v>#REF!</v>
      </c>
      <c r="K20" s="579" t="e">
        <f>IF(ISNA(MATCH(L20,#REF!,0)),"нет такого кода",INDEX(#REF!,MATCH(L20,#REF!,0)))</f>
        <v>#REF!</v>
      </c>
      <c r="L20" s="592">
        <v>14</v>
      </c>
      <c r="M20" s="602" t="e">
        <f>VLOOKUP(L20,#REF!,COLUMN(#REF!))</f>
        <v>#REF!</v>
      </c>
    </row>
    <row r="21" spans="1:14">
      <c r="A21" s="587"/>
      <c r="B21" s="575"/>
      <c r="C21" s="587" t="e">
        <f>VLOOKUP(L21,#REF!,COLUMN(#REF!))</f>
        <v>#REF!</v>
      </c>
      <c r="D21" s="587" t="e">
        <f>VLOOKUP(L21,#REF!,COLUMN(#REF!))</f>
        <v>#REF!</v>
      </c>
      <c r="E21" s="587" t="e">
        <f>VLOOKUP(L21,#REF!,COLUMN(#REF!))</f>
        <v>#REF!</v>
      </c>
      <c r="F21" s="594"/>
      <c r="G21" s="766" t="e">
        <f>VLOOKUP($H$6,#REF!,7)</f>
        <v>#REF!</v>
      </c>
      <c r="H21" s="585" t="s">
        <v>568</v>
      </c>
      <c r="I21" s="590" t="e">
        <f>IF(ISNA(MATCH(K21,#REF!,0)),"нет такого кода",INDEX(#REF!,MATCH(K21,#REF!,0)))</f>
        <v>#REF!</v>
      </c>
      <c r="J21" s="591"/>
      <c r="K21" s="579" t="e">
        <f>IF(ISNA(MATCH(L21,#REF!,0)),"нет такого кода",INDEX(#REF!,MATCH(L21,#REF!,0)))</f>
        <v>#REF!</v>
      </c>
      <c r="L21" s="592">
        <v>15</v>
      </c>
      <c r="M21" s="602" t="e">
        <f>VLOOKUP(L21,#REF!,COLUMN(#REF!))</f>
        <v>#REF!</v>
      </c>
    </row>
    <row r="22" spans="1:14">
      <c r="A22" s="587"/>
      <c r="B22" s="575" t="s">
        <v>564</v>
      </c>
      <c r="C22" s="587" t="e">
        <f>VLOOKUP(L22,#REF!,COLUMN(#REF!))</f>
        <v>#REF!</v>
      </c>
      <c r="D22" s="587" t="e">
        <f>VLOOKUP(L22,#REF!,COLUMN(#REF!))</f>
        <v>#REF!</v>
      </c>
      <c r="E22" s="587" t="e">
        <f>VLOOKUP(L22,#REF!,COLUMN(#REF!))</f>
        <v>#REF!</v>
      </c>
      <c r="F22" s="594"/>
      <c r="G22" s="766" t="e">
        <f>VLOOKUP($H$6,#REF!,7)</f>
        <v>#REF!</v>
      </c>
      <c r="H22" s="585" t="s">
        <v>568</v>
      </c>
      <c r="I22" s="590" t="e">
        <f>IF(ISNA(MATCH(K22,#REF!,0)),"нет такого кода",INDEX(#REF!,MATCH(K22,#REF!,0)))</f>
        <v>#REF!</v>
      </c>
      <c r="J22" s="591"/>
      <c r="K22" s="579" t="e">
        <f>IF(ISNA(MATCH(L22,#REF!,0)),"нет такого кода",INDEX(#REF!,MATCH(L22,#REF!,0)))</f>
        <v>#REF!</v>
      </c>
      <c r="L22" s="592">
        <v>16</v>
      </c>
      <c r="M22" s="602" t="e">
        <f>VLOOKUP(L22,#REF!,COLUMN(#REF!))</f>
        <v>#REF!</v>
      </c>
    </row>
    <row r="23" spans="1:14">
      <c r="A23" s="587"/>
      <c r="B23" s="575"/>
      <c r="C23" s="587" t="e">
        <f>VLOOKUP(L23,#REF!,COLUMN(#REF!))</f>
        <v>#REF!</v>
      </c>
      <c r="D23" s="587" t="e">
        <f>VLOOKUP(L23,#REF!,COLUMN(#REF!))</f>
        <v>#REF!</v>
      </c>
      <c r="E23" s="587" t="e">
        <f>VLOOKUP(L23,#REF!,COLUMN(#REF!))</f>
        <v>#REF!</v>
      </c>
      <c r="F23" s="767" t="e">
        <f>IF(ISNA(MATCH($L$2,#REF!,0)),"нет такого кода",INDEX(#REF!,MATCH(Чис_двірн!$L$2,#REF!,0)))</f>
        <v>#REF!</v>
      </c>
      <c r="G23" s="766" t="e">
        <f>VLOOKUP($H$6,#REF!,7)</f>
        <v>#REF!</v>
      </c>
      <c r="H23" s="585" t="s">
        <v>568</v>
      </c>
      <c r="I23" s="590" t="e">
        <f>IF(ISNA(MATCH(K23,#REF!,0)),"нет такого кода",INDEX(#REF!,MATCH(K23,#REF!,0)))</f>
        <v>#REF!</v>
      </c>
      <c r="J23" s="768" t="e">
        <f>F23/E23*G23*I23</f>
        <v>#REF!</v>
      </c>
      <c r="K23" s="579" t="e">
        <f>IF(ISNA(MATCH(L23,#REF!,0)),"нет такого кода",INDEX(#REF!,MATCH(L23,#REF!,0)))</f>
        <v>#REF!</v>
      </c>
      <c r="L23" s="592">
        <v>17</v>
      </c>
      <c r="M23" s="602" t="e">
        <f>VLOOKUP(L23,#REF!,COLUMN(#REF!))</f>
        <v>#REF!</v>
      </c>
    </row>
    <row r="24" spans="1:14">
      <c r="A24" s="587"/>
      <c r="B24" s="575"/>
      <c r="C24" s="587" t="e">
        <f>VLOOKUP(L24,#REF!,COLUMN(#REF!))</f>
        <v>#REF!</v>
      </c>
      <c r="D24" s="587" t="e">
        <f>VLOOKUP(L24,#REF!,COLUMN(#REF!))</f>
        <v>#REF!</v>
      </c>
      <c r="E24" s="587" t="e">
        <f>VLOOKUP(L24,#REF!,COLUMN(#REF!))</f>
        <v>#REF!</v>
      </c>
      <c r="F24" s="594"/>
      <c r="G24" s="766" t="e">
        <f>VLOOKUP($H$6,#REF!,7)</f>
        <v>#REF!</v>
      </c>
      <c r="H24" s="585" t="s">
        <v>568</v>
      </c>
      <c r="I24" s="590" t="e">
        <f>IF(ISNA(MATCH(K24,#REF!,0)),"нет такого кода",INDEX(#REF!,MATCH(K24,#REF!,0)))</f>
        <v>#REF!</v>
      </c>
      <c r="J24" s="591"/>
      <c r="K24" s="579" t="e">
        <f>IF(ISNA(MATCH(L24,#REF!,0)),"нет такого кода",INDEX(#REF!,MATCH(L24,#REF!,0)))</f>
        <v>#REF!</v>
      </c>
      <c r="L24" s="592">
        <v>18</v>
      </c>
      <c r="M24" s="602" t="e">
        <f>VLOOKUP(L24,#REF!,COLUMN(#REF!))</f>
        <v>#REF!</v>
      </c>
    </row>
    <row r="25" spans="1:14">
      <c r="A25" s="587" t="s">
        <v>574</v>
      </c>
      <c r="B25" s="593" t="s">
        <v>576</v>
      </c>
      <c r="C25" s="575"/>
      <c r="D25" s="587" t="e">
        <f>VLOOKUP(L25,#REF!,COLUMN(#REF!))</f>
        <v>#REF!</v>
      </c>
      <c r="E25" s="587">
        <v>100</v>
      </c>
      <c r="F25" s="767" t="e">
        <f>IF(ISNA(MATCH($L$2,#REF!,0)),"нет такого кода",INDEX(#REF!,MATCH(Чис_двірн!$L$2,#REF!,0)))/N25</f>
        <v>#REF!</v>
      </c>
      <c r="G25" s="766" t="e">
        <f>VLOOKUP($H$6,#REF!,7)</f>
        <v>#REF!</v>
      </c>
      <c r="H25" s="585" t="s">
        <v>568</v>
      </c>
      <c r="I25" s="590" t="e">
        <f>IF(ISNA(MATCH(K25,#REF!,0)),"нет такого кода",INDEX(#REF!,MATCH(K25,#REF!,0)))</f>
        <v>#REF!</v>
      </c>
      <c r="J25" s="768" t="e">
        <f>F25/E25*G25*I25</f>
        <v>#REF!</v>
      </c>
      <c r="K25" s="579" t="e">
        <f>IF(ISNA(MATCH(L25,#REF!,0)),"нет такого кода",INDEX(#REF!,MATCH(L25,#REF!,0)))</f>
        <v>#REF!</v>
      </c>
      <c r="L25" s="592">
        <v>19</v>
      </c>
      <c r="M25" s="602" t="e">
        <f>VLOOKUP(L25,#REF!,COLUMN(#REF!))</f>
        <v>#REF!</v>
      </c>
      <c r="N25" s="592">
        <v>2</v>
      </c>
    </row>
    <row r="26" spans="1:14">
      <c r="A26" s="587" t="s">
        <v>575</v>
      </c>
      <c r="B26" s="593" t="s">
        <v>577</v>
      </c>
      <c r="C26" s="575"/>
      <c r="D26" s="587" t="e">
        <f>VLOOKUP(L26,#REF!,COLUMN(#REF!))</f>
        <v>#REF!</v>
      </c>
      <c r="E26" s="587">
        <v>100</v>
      </c>
      <c r="F26" s="767" t="e">
        <f>IF(ISNA(MATCH($L$2,#REF!,0)),"нет такого кода",INDEX(#REF!,MATCH(Чис_двірн!$L$2,#REF!,0)))+IF(ISNA(MATCH($L$2,#REF!,0)),"нет такого кода",INDEX(#REF!,MATCH(Чис_двірн!$L$2,#REF!,0)))</f>
        <v>#REF!</v>
      </c>
      <c r="G26" s="766" t="e">
        <f>VLOOKUP($H$6,#REF!,7)</f>
        <v>#REF!</v>
      </c>
      <c r="H26" s="585" t="s">
        <v>568</v>
      </c>
      <c r="I26" s="590" t="e">
        <f>IF(ISNA(MATCH(K26,#REF!,0)),"нет такого кода",INDEX(#REF!,MATCH(K26,#REF!,0)))</f>
        <v>#REF!</v>
      </c>
      <c r="J26" s="768" t="e">
        <f>F26/E26*G26*I26</f>
        <v>#REF!</v>
      </c>
      <c r="K26" s="579" t="e">
        <f>IF(ISNA(MATCH(L26,#REF!,0)),"нет такого кода",INDEX(#REF!,MATCH(L26,#REF!,0)))</f>
        <v>#REF!</v>
      </c>
      <c r="L26" s="592">
        <v>20</v>
      </c>
      <c r="M26" s="602" t="e">
        <f>VLOOKUP(L26,#REF!,COLUMN(#REF!))</f>
        <v>#REF!</v>
      </c>
    </row>
    <row r="27" spans="1:14" ht="24">
      <c r="A27" s="587" t="s">
        <v>590</v>
      </c>
      <c r="B27" s="593" t="s">
        <v>526</v>
      </c>
      <c r="C27" s="587" t="e">
        <f>VLOOKUP(L27,#REF!,COLUMN(#REF!))</f>
        <v>#REF!</v>
      </c>
      <c r="D27" s="587" t="e">
        <f>VLOOKUP(L27,#REF!,COLUMN(#REF!))</f>
        <v>#REF!</v>
      </c>
      <c r="E27" s="587" t="e">
        <f>VLOOKUP(L27,#REF!,COLUMN(#REF!))</f>
        <v>#REF!</v>
      </c>
      <c r="F27" s="594"/>
      <c r="G27" s="589"/>
      <c r="H27" s="589"/>
      <c r="I27" s="590" t="e">
        <f>IF(ISNA(MATCH(K27,#REF!,0)),"нет такого кода",INDEX(#REF!,MATCH(K27,#REF!,0)))</f>
        <v>#REF!</v>
      </c>
      <c r="J27" s="591"/>
      <c r="K27" s="579" t="e">
        <f>IF(ISNA(MATCH(L27,#REF!,0)),"нет такого кода",INDEX(#REF!,MATCH(L27,#REF!,0)))</f>
        <v>#REF!</v>
      </c>
      <c r="L27" s="592">
        <v>21</v>
      </c>
      <c r="M27" s="602" t="e">
        <f>VLOOKUP(L27,#REF!,COLUMN(#REF!))</f>
        <v>#REF!</v>
      </c>
    </row>
    <row r="28" spans="1:14">
      <c r="A28" s="587"/>
      <c r="B28" s="575"/>
      <c r="C28" s="587" t="e">
        <f>VLOOKUP(L28,#REF!,COLUMN(#REF!))</f>
        <v>#REF!</v>
      </c>
      <c r="D28" s="587" t="e">
        <f>VLOOKUP(L28,#REF!,COLUMN(#REF!))</f>
        <v>#REF!</v>
      </c>
      <c r="E28" s="587" t="e">
        <f>VLOOKUP(L28,#REF!,COLUMN(#REF!))</f>
        <v>#REF!</v>
      </c>
      <c r="F28" s="767">
        <v>0</v>
      </c>
      <c r="G28" s="589"/>
      <c r="H28" s="589"/>
      <c r="I28" s="590" t="e">
        <f>IF(ISNA(MATCH(K28,#REF!,0)),"нет такого кода",INDEX(#REF!,MATCH(K28,#REF!,0)))</f>
        <v>#REF!</v>
      </c>
      <c r="J28" s="591"/>
      <c r="K28" s="579" t="e">
        <f>IF(ISNA(MATCH(L28,#REF!,0)),"нет такого кода",INDEX(#REF!,MATCH(L28,#REF!,0)))</f>
        <v>#REF!</v>
      </c>
      <c r="L28" s="592">
        <v>22</v>
      </c>
      <c r="M28" s="602" t="e">
        <f>VLOOKUP(L28,#REF!,COLUMN(#REF!))</f>
        <v>#REF!</v>
      </c>
    </row>
    <row r="29" spans="1:14">
      <c r="A29" s="587"/>
      <c r="B29" s="575"/>
      <c r="C29" s="587" t="e">
        <f>VLOOKUP(L29,#REF!,COLUMN(#REF!))</f>
        <v>#REF!</v>
      </c>
      <c r="D29" s="587" t="e">
        <f>VLOOKUP(L29,#REF!,COLUMN(#REF!))</f>
        <v>#REF!</v>
      </c>
      <c r="E29" s="587" t="e">
        <f>VLOOKUP(L29,#REF!,COLUMN(#REF!))</f>
        <v>#REF!</v>
      </c>
      <c r="F29" s="588"/>
      <c r="G29" s="589"/>
      <c r="H29" s="589"/>
      <c r="I29" s="590" t="e">
        <f>IF(ISNA(MATCH(K29,#REF!,0)),"нет такого кода",INDEX(#REF!,MATCH(K29,#REF!,0)))</f>
        <v>#REF!</v>
      </c>
      <c r="J29" s="591"/>
      <c r="K29" s="579" t="e">
        <f>IF(ISNA(MATCH(L29,#REF!,0)),"нет такого кода",INDEX(#REF!,MATCH(L29,#REF!,0)))</f>
        <v>#REF!</v>
      </c>
      <c r="L29" s="592">
        <v>23</v>
      </c>
      <c r="M29" s="602" t="e">
        <f>VLOOKUP(L29,#REF!,COLUMN(#REF!))</f>
        <v>#REF!</v>
      </c>
    </row>
    <row r="30" spans="1:14">
      <c r="A30" s="587" t="s">
        <v>591</v>
      </c>
      <c r="B30" s="593" t="s">
        <v>527</v>
      </c>
      <c r="C30" s="575"/>
      <c r="D30" s="587" t="e">
        <f>VLOOKUP(L30,#REF!,COLUMN(#REF!))</f>
        <v>#REF!</v>
      </c>
      <c r="E30" s="587" t="e">
        <f>VLOOKUP(L30,#REF!,COLUMN(#REF!))</f>
        <v>#REF!</v>
      </c>
      <c r="F30" s="588"/>
      <c r="G30" s="589"/>
      <c r="H30" s="589"/>
      <c r="I30" s="590" t="e">
        <f>IF(ISNA(MATCH(K30,#REF!,0)),"нет такого кода",INDEX(#REF!,MATCH(K30,#REF!,0)))</f>
        <v>#REF!</v>
      </c>
      <c r="J30" s="591"/>
      <c r="K30" s="579" t="e">
        <f>IF(ISNA(MATCH(L30,#REF!,0)),"нет такого кода",INDEX(#REF!,MATCH(L30,#REF!,0)))</f>
        <v>#REF!</v>
      </c>
      <c r="L30" s="592">
        <v>24</v>
      </c>
      <c r="M30" s="602" t="e">
        <f>VLOOKUP(L30,#REF!,COLUMN(#REF!))</f>
        <v>#REF!</v>
      </c>
    </row>
    <row r="31" spans="1:14" ht="24">
      <c r="A31" s="587" t="s">
        <v>592</v>
      </c>
      <c r="B31" s="593" t="s">
        <v>528</v>
      </c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602"/>
    </row>
    <row r="32" spans="1:14">
      <c r="A32" s="587"/>
      <c r="B32" s="575" t="s">
        <v>566</v>
      </c>
      <c r="C32" s="587" t="e">
        <f>VLOOKUP(L32,#REF!,COLUMN(#REF!))</f>
        <v>#REF!</v>
      </c>
      <c r="D32" s="587" t="e">
        <f>VLOOKUP(L32,#REF!,COLUMN(#REF!))</f>
        <v>#REF!</v>
      </c>
      <c r="E32" s="587" t="e">
        <f>VLOOKUP(L32,#REF!,COLUMN(#REF!))</f>
        <v>#REF!</v>
      </c>
      <c r="F32" s="588"/>
      <c r="G32" s="589"/>
      <c r="H32" s="589"/>
      <c r="I32" s="590" t="e">
        <f>IF(ISNA(MATCH(K32,#REF!,0)),"нет такого кода",INDEX(#REF!,MATCH(K32,#REF!,0)))</f>
        <v>#REF!</v>
      </c>
      <c r="J32" s="591"/>
      <c r="K32" s="579" t="e">
        <f>IF(ISNA(MATCH(L32,#REF!,0)),"нет такого кода",INDEX(#REF!,MATCH(L32,#REF!,0)))</f>
        <v>#REF!</v>
      </c>
      <c r="L32" s="592">
        <v>25</v>
      </c>
      <c r="M32" s="602" t="e">
        <f>VLOOKUP(L32,#REF!,COLUMN(#REF!))</f>
        <v>#REF!</v>
      </c>
    </row>
    <row r="33" spans="1:13">
      <c r="A33" s="587"/>
      <c r="B33" s="575" t="s">
        <v>565</v>
      </c>
      <c r="C33" s="587" t="e">
        <f>VLOOKUP(L33,#REF!,COLUMN(#REF!))</f>
        <v>#REF!</v>
      </c>
      <c r="D33" s="587" t="e">
        <f>VLOOKUP(L33,#REF!,COLUMN(#REF!))</f>
        <v>#REF!</v>
      </c>
      <c r="E33" s="587" t="e">
        <f>VLOOKUP(L33,#REF!,COLUMN(#REF!))</f>
        <v>#REF!</v>
      </c>
      <c r="F33" s="588"/>
      <c r="G33" s="589"/>
      <c r="H33" s="589"/>
      <c r="I33" s="590" t="e">
        <f>IF(ISNA(MATCH(K33,#REF!,0)),"нет такого кода",INDEX(#REF!,MATCH(K33,#REF!,0)))</f>
        <v>#REF!</v>
      </c>
      <c r="J33" s="591"/>
      <c r="K33" s="579" t="e">
        <f>IF(ISNA(MATCH(L33,#REF!,0)),"нет такого кода",INDEX(#REF!,MATCH(L33,#REF!,0)))</f>
        <v>#REF!</v>
      </c>
      <c r="L33" s="592">
        <v>26</v>
      </c>
      <c r="M33" s="602" t="e">
        <f>VLOOKUP(L33,#REF!,COLUMN(#REF!))</f>
        <v>#REF!</v>
      </c>
    </row>
    <row r="34" spans="1:13">
      <c r="A34" s="587"/>
      <c r="B34" s="575" t="s">
        <v>564</v>
      </c>
      <c r="C34" s="587" t="e">
        <f>VLOOKUP(L34,#REF!,COLUMN(#REF!))</f>
        <v>#REF!</v>
      </c>
      <c r="D34" s="587" t="e">
        <f>VLOOKUP(L34,#REF!,COLUMN(#REF!))</f>
        <v>#REF!</v>
      </c>
      <c r="E34" s="587" t="e">
        <f>VLOOKUP(L34,#REF!,COLUMN(#REF!))</f>
        <v>#REF!</v>
      </c>
      <c r="F34" s="588"/>
      <c r="G34" s="589"/>
      <c r="H34" s="589"/>
      <c r="I34" s="590" t="e">
        <f>IF(ISNA(MATCH(K34,#REF!,0)),"нет такого кода",INDEX(#REF!,MATCH(K34,#REF!,0)))</f>
        <v>#REF!</v>
      </c>
      <c r="J34" s="591"/>
      <c r="K34" s="579" t="e">
        <f>IF(ISNA(MATCH(L34,#REF!,0)),"нет такого кода",INDEX(#REF!,MATCH(L34,#REF!,0)))</f>
        <v>#REF!</v>
      </c>
      <c r="L34" s="592">
        <v>27</v>
      </c>
      <c r="M34" s="602" t="e">
        <f>VLOOKUP(L34,#REF!,COLUMN(#REF!))</f>
        <v>#REF!</v>
      </c>
    </row>
    <row r="35" spans="1:13" ht="24">
      <c r="A35" s="587" t="s">
        <v>593</v>
      </c>
      <c r="B35" s="593" t="s">
        <v>529</v>
      </c>
      <c r="C35" s="587" t="e">
        <f>VLOOKUP(L35,#REF!,COLUMN(#REF!))</f>
        <v>#REF!</v>
      </c>
      <c r="D35" s="587" t="e">
        <f>VLOOKUP(L35,#REF!,COLUMN(#REF!))</f>
        <v>#REF!</v>
      </c>
      <c r="E35" s="587" t="e">
        <f>VLOOKUP(L35,#REF!,COLUMN(#REF!))</f>
        <v>#REF!</v>
      </c>
      <c r="F35" s="596"/>
      <c r="G35" s="597"/>
      <c r="H35" s="597"/>
      <c r="I35" s="590" t="e">
        <f>IF(ISNA(MATCH(K35,#REF!,0)),"нет такого кода",INDEX(#REF!,MATCH(K35,#REF!,0)))</f>
        <v>#REF!</v>
      </c>
      <c r="J35" s="598"/>
      <c r="K35" s="579" t="e">
        <f>IF(ISNA(MATCH(L35,#REF!,0)),"нет такого кода",INDEX(#REF!,MATCH(L35,#REF!,0)))</f>
        <v>#REF!</v>
      </c>
      <c r="L35" s="599">
        <v>28</v>
      </c>
      <c r="M35" s="602" t="e">
        <f>VLOOKUP(L35,#REF!,COLUMN(#REF!))</f>
        <v>#REF!</v>
      </c>
    </row>
    <row r="36" spans="1:13">
      <c r="A36" s="600"/>
      <c r="B36" s="601"/>
      <c r="C36" s="587" t="e">
        <f>VLOOKUP(L36,#REF!,COLUMN(#REF!))</f>
        <v>#REF!</v>
      </c>
      <c r="D36" s="587" t="e">
        <f>VLOOKUP(L36,#REF!,COLUMN(#REF!))</f>
        <v>#REF!</v>
      </c>
      <c r="E36" s="587" t="e">
        <f>VLOOKUP(L36,#REF!,COLUMN(#REF!))</f>
        <v>#REF!</v>
      </c>
      <c r="F36" s="596"/>
      <c r="G36" s="597"/>
      <c r="H36" s="597"/>
      <c r="I36" s="590" t="e">
        <f>IF(ISNA(MATCH(K36,#REF!,0)),"нет такого кода",INDEX(#REF!,MATCH(K36,#REF!,0)))</f>
        <v>#REF!</v>
      </c>
      <c r="J36" s="598"/>
      <c r="K36" s="579" t="e">
        <f>IF(ISNA(MATCH(L36,#REF!,0)),"нет такого кода",INDEX(#REF!,MATCH(L36,#REF!,0)))</f>
        <v>#REF!</v>
      </c>
      <c r="L36" s="599">
        <v>29</v>
      </c>
      <c r="M36" s="602" t="e">
        <f>VLOOKUP(L36,#REF!,COLUMN(#REF!))</f>
        <v>#REF!</v>
      </c>
    </row>
    <row r="37" spans="1:13">
      <c r="A37" s="600"/>
      <c r="B37" s="601"/>
      <c r="C37" s="587" t="e">
        <f>VLOOKUP(L37,#REF!,COLUMN(#REF!))</f>
        <v>#REF!</v>
      </c>
      <c r="D37" s="587" t="e">
        <f>VLOOKUP(L37,#REF!,COLUMN(#REF!))</f>
        <v>#REF!</v>
      </c>
      <c r="E37" s="587" t="e">
        <f>VLOOKUP(L37,#REF!,COLUMN(#REF!))</f>
        <v>#REF!</v>
      </c>
      <c r="F37" s="596"/>
      <c r="G37" s="597"/>
      <c r="H37" s="597"/>
      <c r="I37" s="590" t="e">
        <f>IF(ISNA(MATCH(K37,#REF!,0)),"нет такого кода",INDEX(#REF!,MATCH(K37,#REF!,0)))</f>
        <v>#REF!</v>
      </c>
      <c r="J37" s="598"/>
      <c r="K37" s="579" t="e">
        <f>IF(ISNA(MATCH(L37,#REF!,0)),"нет такого кода",INDEX(#REF!,MATCH(L37,#REF!,0)))</f>
        <v>#REF!</v>
      </c>
      <c r="L37" s="599">
        <v>30</v>
      </c>
      <c r="M37" s="602" t="e">
        <f>VLOOKUP(L37,#REF!,COLUMN(#REF!))</f>
        <v>#REF!</v>
      </c>
    </row>
    <row r="38" spans="1:13" ht="24">
      <c r="A38" s="587" t="s">
        <v>594</v>
      </c>
      <c r="B38" s="593" t="s">
        <v>530</v>
      </c>
      <c r="C38" s="587" t="e">
        <f>VLOOKUP(L38,#REF!,COLUMN(#REF!))</f>
        <v>#REF!</v>
      </c>
      <c r="D38" s="587" t="e">
        <f>VLOOKUP(L38,#REF!,COLUMN(#REF!))</f>
        <v>#REF!</v>
      </c>
      <c r="E38" s="587" t="e">
        <f>VLOOKUP(L38,#REF!,COLUMN(#REF!))</f>
        <v>#REF!</v>
      </c>
      <c r="F38" s="596"/>
      <c r="G38" s="597"/>
      <c r="H38" s="597"/>
      <c r="I38" s="590" t="e">
        <f>IF(ISNA(MATCH(K38,#REF!,0)),"нет такого кода",INDEX(#REF!,MATCH(K38,#REF!,0)))</f>
        <v>#REF!</v>
      </c>
      <c r="J38" s="598"/>
      <c r="K38" s="579" t="e">
        <f>IF(ISNA(MATCH(L38,#REF!,0)),"нет такого кода",INDEX(#REF!,MATCH(L38,#REF!,0)))</f>
        <v>#REF!</v>
      </c>
      <c r="L38" s="599">
        <v>31</v>
      </c>
      <c r="M38" s="602" t="e">
        <f>VLOOKUP(L38,#REF!,COLUMN(#REF!))</f>
        <v>#REF!</v>
      </c>
    </row>
    <row r="39" spans="1:13">
      <c r="A39" s="600"/>
      <c r="B39" s="601"/>
      <c r="C39" s="587" t="e">
        <f>VLOOKUP(L39,#REF!,COLUMN(#REF!))</f>
        <v>#REF!</v>
      </c>
      <c r="D39" s="587" t="e">
        <f>VLOOKUP(L39,#REF!,COLUMN(#REF!))</f>
        <v>#REF!</v>
      </c>
      <c r="E39" s="587" t="e">
        <f>VLOOKUP(L39,#REF!,COLUMN(#REF!))</f>
        <v>#REF!</v>
      </c>
      <c r="F39" s="596"/>
      <c r="G39" s="597"/>
      <c r="H39" s="597"/>
      <c r="I39" s="590" t="e">
        <f>IF(ISNA(MATCH(K39,#REF!,0)),"нет такого кода",INDEX(#REF!,MATCH(K39,#REF!,0)))</f>
        <v>#REF!</v>
      </c>
      <c r="J39" s="598"/>
      <c r="K39" s="579" t="e">
        <f>IF(ISNA(MATCH(L39,#REF!,0)),"нет такого кода",INDEX(#REF!,MATCH(L39,#REF!,0)))</f>
        <v>#REF!</v>
      </c>
      <c r="L39" s="599">
        <v>32</v>
      </c>
      <c r="M39" s="602" t="e">
        <f>VLOOKUP(L39,#REF!,COLUMN(#REF!))</f>
        <v>#REF!</v>
      </c>
    </row>
    <row r="40" spans="1:13">
      <c r="A40" s="600"/>
      <c r="B40" s="601"/>
      <c r="C40" s="587" t="e">
        <f>VLOOKUP(L40,#REF!,COLUMN(#REF!))</f>
        <v>#REF!</v>
      </c>
      <c r="D40" s="587" t="e">
        <f>VLOOKUP(L40,#REF!,COLUMN(#REF!))</f>
        <v>#REF!</v>
      </c>
      <c r="E40" s="587" t="e">
        <f>VLOOKUP(L40,#REF!,COLUMN(#REF!))</f>
        <v>#REF!</v>
      </c>
      <c r="F40" s="596"/>
      <c r="G40" s="597"/>
      <c r="H40" s="597"/>
      <c r="I40" s="590" t="e">
        <f>IF(ISNA(MATCH(K40,#REF!,0)),"нет такого кода",INDEX(#REF!,MATCH(K40,#REF!,0)))</f>
        <v>#REF!</v>
      </c>
      <c r="J40" s="598"/>
      <c r="K40" s="579" t="e">
        <f>IF(ISNA(MATCH(L40,#REF!,0)),"нет такого кода",INDEX(#REF!,MATCH(L40,#REF!,0)))</f>
        <v>#REF!</v>
      </c>
      <c r="L40" s="599">
        <v>33</v>
      </c>
      <c r="M40" s="602" t="e">
        <f>VLOOKUP(L40,#REF!,COLUMN(#REF!))</f>
        <v>#REF!</v>
      </c>
    </row>
    <row r="41" spans="1:13">
      <c r="A41" s="587" t="s">
        <v>595</v>
      </c>
      <c r="B41" s="593" t="s">
        <v>531</v>
      </c>
      <c r="C41" s="587" t="e">
        <f>VLOOKUP(L41,#REF!,COLUMN(#REF!))</f>
        <v>#REF!</v>
      </c>
      <c r="D41" s="587" t="e">
        <f>VLOOKUP(L41,#REF!,COLUMN(#REF!))</f>
        <v>#REF!</v>
      </c>
      <c r="E41" s="587" t="e">
        <f>VLOOKUP(L41,#REF!,COLUMN(#REF!))</f>
        <v>#REF!</v>
      </c>
      <c r="F41" s="596"/>
      <c r="G41" s="597"/>
      <c r="H41" s="597"/>
      <c r="I41" s="590" t="e">
        <f>IF(ISNA(MATCH(K41,#REF!,0)),"нет такого кода",INDEX(#REF!,MATCH(K41,#REF!,0)))</f>
        <v>#REF!</v>
      </c>
      <c r="J41" s="598"/>
      <c r="K41" s="579" t="e">
        <f>IF(ISNA(MATCH(L41,#REF!,0)),"нет такого кода",INDEX(#REF!,MATCH(L41,#REF!,0)))</f>
        <v>#REF!</v>
      </c>
      <c r="L41" s="599">
        <v>34</v>
      </c>
      <c r="M41" s="602" t="e">
        <f>VLOOKUP(L41,#REF!,COLUMN(#REF!))</f>
        <v>#REF!</v>
      </c>
    </row>
    <row r="42" spans="1:13">
      <c r="A42" s="600"/>
      <c r="B42" s="601"/>
      <c r="C42" s="587" t="e">
        <f>VLOOKUP(L42,#REF!,COLUMN(#REF!))</f>
        <v>#REF!</v>
      </c>
      <c r="D42" s="587" t="e">
        <f>VLOOKUP(L42,#REF!,COLUMN(#REF!))</f>
        <v>#REF!</v>
      </c>
      <c r="E42" s="587" t="e">
        <f>VLOOKUP(L42,#REF!,COLUMN(#REF!))</f>
        <v>#REF!</v>
      </c>
      <c r="F42" s="596"/>
      <c r="G42" s="597"/>
      <c r="H42" s="597"/>
      <c r="I42" s="590" t="e">
        <f>IF(ISNA(MATCH(K42,#REF!,0)),"нет такого кода",INDEX(#REF!,MATCH(K42,#REF!,0)))</f>
        <v>#REF!</v>
      </c>
      <c r="J42" s="598"/>
      <c r="K42" s="579" t="e">
        <f>IF(ISNA(MATCH(L42,#REF!,0)),"нет такого кода",INDEX(#REF!,MATCH(L42,#REF!,0)))</f>
        <v>#REF!</v>
      </c>
      <c r="L42" s="599">
        <v>35</v>
      </c>
      <c r="M42" s="602" t="e">
        <f>VLOOKUP(L42,#REF!,COLUMN(#REF!))</f>
        <v>#REF!</v>
      </c>
    </row>
    <row r="43" spans="1:13">
      <c r="A43" s="600"/>
      <c r="B43" s="601"/>
      <c r="C43" s="587" t="e">
        <f>VLOOKUP(L43,#REF!,COLUMN(#REF!))</f>
        <v>#REF!</v>
      </c>
      <c r="D43" s="587" t="e">
        <f>VLOOKUP(L43,#REF!,COLUMN(#REF!))</f>
        <v>#REF!</v>
      </c>
      <c r="E43" s="587" t="e">
        <f>VLOOKUP(L43,#REF!,COLUMN(#REF!))</f>
        <v>#REF!</v>
      </c>
      <c r="F43" s="596"/>
      <c r="G43" s="597"/>
      <c r="H43" s="597"/>
      <c r="I43" s="590" t="e">
        <f>IF(ISNA(MATCH(K43,#REF!,0)),"нет такого кода",INDEX(#REF!,MATCH(K43,#REF!,0)))</f>
        <v>#REF!</v>
      </c>
      <c r="J43" s="598"/>
      <c r="K43" s="579" t="e">
        <f>IF(ISNA(MATCH(L43,#REF!,0)),"нет такого кода",INDEX(#REF!,MATCH(L43,#REF!,0)))</f>
        <v>#REF!</v>
      </c>
      <c r="L43" s="599">
        <v>36</v>
      </c>
      <c r="M43" s="602" t="e">
        <f>VLOOKUP(L43,#REF!,COLUMN(#REF!))</f>
        <v>#REF!</v>
      </c>
    </row>
    <row r="44" spans="1:13">
      <c r="A44" s="587" t="s">
        <v>596</v>
      </c>
      <c r="B44" s="593" t="s">
        <v>578</v>
      </c>
      <c r="C44" s="601"/>
      <c r="D44" s="587" t="e">
        <f>VLOOKUP(L44,#REF!,COLUMN(#REF!))</f>
        <v>#REF!</v>
      </c>
      <c r="E44" s="587" t="e">
        <f>VLOOKUP(L44,#REF!,COLUMN(#REF!))</f>
        <v>#REF!</v>
      </c>
      <c r="F44" s="596"/>
      <c r="G44" s="597"/>
      <c r="H44" s="597"/>
      <c r="I44" s="590" t="e">
        <f>IF(ISNA(MATCH(K44,#REF!,0)),"нет такого кода",INDEX(#REF!,MATCH(K44,#REF!,0)))</f>
        <v>#REF!</v>
      </c>
      <c r="J44" s="598"/>
      <c r="K44" s="579" t="e">
        <f>IF(ISNA(MATCH(L44,#REF!,0)),"нет такого кода",INDEX(#REF!,MATCH(L44,#REF!,0)))</f>
        <v>#REF!</v>
      </c>
      <c r="L44" s="599">
        <v>37</v>
      </c>
      <c r="M44" s="602" t="e">
        <f>VLOOKUP(L44,#REF!,COLUMN(#REF!))</f>
        <v>#REF!</v>
      </c>
    </row>
    <row r="45" spans="1:13">
      <c r="A45" s="587" t="s">
        <v>597</v>
      </c>
      <c r="B45" s="593" t="s">
        <v>579</v>
      </c>
      <c r="C45" s="601"/>
      <c r="D45" s="587" t="e">
        <f>VLOOKUP(L45,#REF!,COLUMN(#REF!))</f>
        <v>#REF!</v>
      </c>
      <c r="E45" s="587" t="e">
        <f>VLOOKUP(L45,#REF!,COLUMN(#REF!))</f>
        <v>#REF!</v>
      </c>
      <c r="F45" s="596"/>
      <c r="G45" s="597"/>
      <c r="H45" s="597"/>
      <c r="I45" s="590" t="e">
        <f>IF(ISNA(MATCH(K45,#REF!,0)),"нет такого кода",INDEX(#REF!,MATCH(K45,#REF!,0)))</f>
        <v>#REF!</v>
      </c>
      <c r="J45" s="598"/>
      <c r="K45" s="579" t="e">
        <f>IF(ISNA(MATCH(L45,#REF!,0)),"нет такого кода",INDEX(#REF!,MATCH(L45,#REF!,0)))</f>
        <v>#REF!</v>
      </c>
      <c r="L45" s="599">
        <v>38</v>
      </c>
      <c r="M45" s="602" t="e">
        <f>VLOOKUP(L45,#REF!,COLUMN(#REF!))</f>
        <v>#REF!</v>
      </c>
    </row>
    <row r="46" spans="1:13">
      <c r="A46" s="587" t="s">
        <v>598</v>
      </c>
      <c r="B46" s="593" t="s">
        <v>532</v>
      </c>
      <c r="C46" s="601"/>
      <c r="D46" s="587" t="e">
        <f>VLOOKUP(L46,#REF!,COLUMN(#REF!))</f>
        <v>#REF!</v>
      </c>
      <c r="E46" s="587" t="e">
        <f>VLOOKUP(L46,#REF!,COLUMN(#REF!))</f>
        <v>#REF!</v>
      </c>
      <c r="F46" s="596"/>
      <c r="G46" s="597"/>
      <c r="H46" s="597"/>
      <c r="I46" s="590" t="e">
        <f>IF(ISNA(MATCH(K46,#REF!,0)),"нет такого кода",INDEX(#REF!,MATCH(K46,#REF!,0)))</f>
        <v>#REF!</v>
      </c>
      <c r="J46" s="598"/>
      <c r="K46" s="579" t="e">
        <f>IF(ISNA(MATCH(L46,#REF!,0)),"нет такого кода",INDEX(#REF!,MATCH(L46,#REF!,0)))</f>
        <v>#REF!</v>
      </c>
      <c r="L46" s="599">
        <v>41</v>
      </c>
      <c r="M46" s="602" t="e">
        <f>VLOOKUP(L46,#REF!,COLUMN(#REF!))</f>
        <v>#REF!</v>
      </c>
    </row>
    <row r="47" spans="1:13">
      <c r="A47" s="587" t="s">
        <v>599</v>
      </c>
      <c r="B47" s="593" t="s">
        <v>533</v>
      </c>
      <c r="C47" s="601"/>
      <c r="D47" s="587" t="e">
        <f>VLOOKUP(L47,#REF!,COLUMN(#REF!))</f>
        <v>#REF!</v>
      </c>
      <c r="E47" s="587" t="e">
        <f>VLOOKUP(L47,#REF!,COLUMN(#REF!))</f>
        <v>#REF!</v>
      </c>
      <c r="F47" s="596"/>
      <c r="G47" s="597"/>
      <c r="H47" s="597"/>
      <c r="I47" s="590" t="e">
        <f>IF(ISNA(MATCH(K47,#REF!,0)),"нет такого кода",INDEX(#REF!,MATCH(K47,#REF!,0)))</f>
        <v>#REF!</v>
      </c>
      <c r="J47" s="598"/>
      <c r="K47" s="579" t="e">
        <f>IF(ISNA(MATCH(L47,#REF!,0)),"нет такого кода",INDEX(#REF!,MATCH(L47,#REF!,0)))</f>
        <v>#REF!</v>
      </c>
      <c r="L47" s="599">
        <v>42</v>
      </c>
      <c r="M47" s="602" t="e">
        <f>VLOOKUP(L47,#REF!,COLUMN(#REF!))</f>
        <v>#REF!</v>
      </c>
    </row>
    <row r="48" spans="1:13">
      <c r="A48" s="587" t="s">
        <v>600</v>
      </c>
      <c r="B48" s="593" t="s">
        <v>581</v>
      </c>
      <c r="C48" s="601"/>
      <c r="D48" s="587" t="e">
        <f>VLOOKUP(L48,#REF!,COLUMN(#REF!))</f>
        <v>#REF!</v>
      </c>
      <c r="E48" s="587" t="e">
        <f>VLOOKUP(L48,#REF!,COLUMN(#REF!))</f>
        <v>#REF!</v>
      </c>
      <c r="F48" s="596"/>
      <c r="G48" s="597"/>
      <c r="H48" s="597"/>
      <c r="I48" s="590" t="e">
        <f>IF(ISNA(MATCH(K48,#REF!,0)),"нет такого кода",INDEX(#REF!,MATCH(K48,#REF!,0)))</f>
        <v>#REF!</v>
      </c>
      <c r="J48" s="598"/>
      <c r="K48" s="579" t="e">
        <f>IF(ISNA(MATCH(L48,#REF!,0)),"нет такого кода",INDEX(#REF!,MATCH(L48,#REF!,0)))</f>
        <v>#REF!</v>
      </c>
      <c r="L48" s="599">
        <v>43</v>
      </c>
      <c r="M48" s="602" t="e">
        <f>VLOOKUP(L48,#REF!,COLUMN(#REF!))</f>
        <v>#REF!</v>
      </c>
    </row>
    <row r="49" spans="1:13">
      <c r="A49" s="587" t="s">
        <v>601</v>
      </c>
      <c r="B49" s="593" t="s">
        <v>582</v>
      </c>
      <c r="C49" s="601"/>
      <c r="D49" s="587" t="e">
        <f>VLOOKUP(L49,#REF!,COLUMN(#REF!))</f>
        <v>#REF!</v>
      </c>
      <c r="E49" s="587" t="e">
        <f>VLOOKUP(L49,#REF!,COLUMN(#REF!))</f>
        <v>#REF!</v>
      </c>
      <c r="F49" s="596"/>
      <c r="G49" s="597"/>
      <c r="H49" s="597"/>
      <c r="I49" s="590" t="e">
        <f>IF(ISNA(MATCH(K49,#REF!,0)),"нет такого кода",INDEX(#REF!,MATCH(K49,#REF!,0)))</f>
        <v>#REF!</v>
      </c>
      <c r="J49" s="598"/>
      <c r="K49" s="579" t="e">
        <f>IF(ISNA(MATCH(L49,#REF!,0)),"нет такого кода",INDEX(#REF!,MATCH(L49,#REF!,0)))</f>
        <v>#REF!</v>
      </c>
      <c r="L49" s="599">
        <v>44</v>
      </c>
      <c r="M49" s="602" t="e">
        <f>VLOOKUP(L49,#REF!,COLUMN(#REF!))</f>
        <v>#REF!</v>
      </c>
    </row>
    <row r="50" spans="1:13">
      <c r="A50" s="587" t="s">
        <v>602</v>
      </c>
      <c r="B50" s="593" t="s">
        <v>534</v>
      </c>
      <c r="C50" s="601"/>
      <c r="D50" s="587" t="e">
        <f>VLOOKUP(L50,#REF!,COLUMN(#REF!))</f>
        <v>#REF!</v>
      </c>
      <c r="E50" s="587" t="e">
        <f>VLOOKUP(L50,#REF!,COLUMN(#REF!))</f>
        <v>#REF!</v>
      </c>
      <c r="F50" s="596"/>
      <c r="G50" s="597"/>
      <c r="H50" s="597"/>
      <c r="I50" s="590" t="e">
        <f>IF(ISNA(MATCH(K50,#REF!,0)),"нет такого кода",INDEX(#REF!,MATCH(K50,#REF!,0)))</f>
        <v>#REF!</v>
      </c>
      <c r="J50" s="598"/>
      <c r="K50" s="579" t="e">
        <f>IF(ISNA(MATCH(L50,#REF!,0)),"нет такого кода",INDEX(#REF!,MATCH(L50,#REF!,0)))</f>
        <v>#REF!</v>
      </c>
      <c r="L50" s="599">
        <v>45</v>
      </c>
      <c r="M50" s="602" t="e">
        <f>VLOOKUP(L50,#REF!,COLUMN(#REF!))</f>
        <v>#REF!</v>
      </c>
    </row>
    <row r="51" spans="1:13">
      <c r="A51" s="587" t="s">
        <v>603</v>
      </c>
      <c r="B51" s="593" t="s">
        <v>583</v>
      </c>
      <c r="C51" s="601"/>
      <c r="D51" s="587" t="e">
        <f>VLOOKUP(L51,#REF!,COLUMN(#REF!))</f>
        <v>#REF!</v>
      </c>
      <c r="E51" s="587" t="e">
        <f>VLOOKUP(L51,#REF!,COLUMN(#REF!))</f>
        <v>#REF!</v>
      </c>
      <c r="F51" s="596"/>
      <c r="G51" s="597"/>
      <c r="H51" s="597"/>
      <c r="I51" s="590" t="e">
        <f>IF(ISNA(MATCH(K51,#REF!,0)),"нет такого кода",INDEX(#REF!,MATCH(K51,#REF!,0)))</f>
        <v>#REF!</v>
      </c>
      <c r="J51" s="598"/>
      <c r="K51" s="579" t="e">
        <f>IF(ISNA(MATCH(L51,#REF!,0)),"нет такого кода",INDEX(#REF!,MATCH(L51,#REF!,0)))</f>
        <v>#REF!</v>
      </c>
      <c r="L51" s="599">
        <v>46</v>
      </c>
      <c r="M51" s="602" t="e">
        <f>VLOOKUP(L51,#REF!,COLUMN(#REF!))</f>
        <v>#REF!</v>
      </c>
    </row>
    <row r="52" spans="1:13" ht="24">
      <c r="A52" s="587" t="s">
        <v>604</v>
      </c>
      <c r="B52" s="593" t="s">
        <v>585</v>
      </c>
      <c r="C52" s="601"/>
      <c r="D52" s="587" t="e">
        <f>VLOOKUP(L52,#REF!,COLUMN(#REF!))</f>
        <v>#REF!</v>
      </c>
      <c r="E52" s="587" t="e">
        <f>VLOOKUP(L52,#REF!,COLUMN(#REF!))</f>
        <v>#REF!</v>
      </c>
      <c r="F52" s="596"/>
      <c r="G52" s="597"/>
      <c r="H52" s="597"/>
      <c r="I52" s="590" t="e">
        <f>IF(ISNA(MATCH(K52,#REF!,0)),"нет такого кода",INDEX(#REF!,MATCH(K52,#REF!,0)))</f>
        <v>#REF!</v>
      </c>
      <c r="J52" s="598"/>
      <c r="K52" s="579" t="e">
        <f>IF(ISNA(MATCH(L52,#REF!,0)),"нет такого кода",INDEX(#REF!,MATCH(L52,#REF!,0)))</f>
        <v>#REF!</v>
      </c>
      <c r="L52" s="599">
        <v>47</v>
      </c>
      <c r="M52" s="602" t="e">
        <f>VLOOKUP(L52,#REF!,COLUMN(#REF!))</f>
        <v>#REF!</v>
      </c>
    </row>
    <row r="53" spans="1:13">
      <c r="A53" s="587" t="s">
        <v>605</v>
      </c>
      <c r="B53" s="593" t="s">
        <v>584</v>
      </c>
      <c r="C53" s="601"/>
      <c r="D53" s="587" t="e">
        <f>VLOOKUP(L53,#REF!,COLUMN(#REF!))</f>
        <v>#REF!</v>
      </c>
      <c r="E53" s="587" t="e">
        <f>VLOOKUP(L53,#REF!,COLUMN(#REF!))</f>
        <v>#REF!</v>
      </c>
      <c r="F53" s="596"/>
      <c r="G53" s="597"/>
      <c r="H53" s="597"/>
      <c r="I53" s="590" t="e">
        <f>IF(ISNA(MATCH(K53,#REF!,0)),"нет такого кода",INDEX(#REF!,MATCH(K53,#REF!,0)))</f>
        <v>#REF!</v>
      </c>
      <c r="J53" s="598"/>
      <c r="K53" s="579" t="e">
        <f>IF(ISNA(MATCH(L53,#REF!,0)),"нет такого кода",INDEX(#REF!,MATCH(L53,#REF!,0)))</f>
        <v>#REF!</v>
      </c>
      <c r="L53" s="599">
        <v>48</v>
      </c>
      <c r="M53" s="602" t="e">
        <f>VLOOKUP(L53,#REF!,COLUMN(#REF!))</f>
        <v>#REF!</v>
      </c>
    </row>
    <row r="54" spans="1:13" ht="24">
      <c r="A54" s="587" t="s">
        <v>606</v>
      </c>
      <c r="B54" s="593" t="s">
        <v>586</v>
      </c>
      <c r="C54" s="601"/>
      <c r="D54" s="587" t="e">
        <f>VLOOKUP(L54,#REF!,COLUMN(#REF!))</f>
        <v>#REF!</v>
      </c>
      <c r="E54" s="587" t="e">
        <f>VLOOKUP(L54,#REF!,COLUMN(#REF!))</f>
        <v>#REF!</v>
      </c>
      <c r="F54" s="596"/>
      <c r="G54" s="597"/>
      <c r="H54" s="597"/>
      <c r="I54" s="590" t="e">
        <f>IF(ISNA(MATCH(K54,#REF!,0)),"нет такого кода",INDEX(#REF!,MATCH(K54,#REF!,0)))</f>
        <v>#REF!</v>
      </c>
      <c r="J54" s="598"/>
      <c r="K54" s="579" t="e">
        <f>IF(ISNA(MATCH(L54,#REF!,0)),"нет такого кода",INDEX(#REF!,MATCH(L54,#REF!,0)))</f>
        <v>#REF!</v>
      </c>
      <c r="L54" s="599">
        <v>49</v>
      </c>
      <c r="M54" s="602" t="e">
        <f>VLOOKUP(L54,#REF!,COLUMN(#REF!))</f>
        <v>#REF!</v>
      </c>
    </row>
    <row r="55" spans="1:13">
      <c r="A55" s="587" t="s">
        <v>607</v>
      </c>
      <c r="B55" s="593" t="s">
        <v>587</v>
      </c>
      <c r="C55" s="601"/>
      <c r="D55" s="587" t="e">
        <f>VLOOKUP(L55,#REF!,COLUMN(#REF!))</f>
        <v>#REF!</v>
      </c>
      <c r="E55" s="587" t="e">
        <f>VLOOKUP(L55,#REF!,COLUMN(#REF!))</f>
        <v>#REF!</v>
      </c>
      <c r="F55" s="596"/>
      <c r="G55" s="597"/>
      <c r="H55" s="597"/>
      <c r="I55" s="590" t="e">
        <f>IF(ISNA(MATCH(K55,#REF!,0)),"нет такого кода",INDEX(#REF!,MATCH(K55,#REF!,0)))</f>
        <v>#REF!</v>
      </c>
      <c r="J55" s="598"/>
      <c r="K55" s="579" t="e">
        <f>IF(ISNA(MATCH(L55,#REF!,0)),"нет такого кода",INDEX(#REF!,MATCH(L55,#REF!,0)))</f>
        <v>#REF!</v>
      </c>
      <c r="L55" s="599">
        <v>50</v>
      </c>
      <c r="M55" s="602" t="e">
        <f>VLOOKUP(L55,#REF!,COLUMN(#REF!))</f>
        <v>#REF!</v>
      </c>
    </row>
    <row r="56" spans="1:13">
      <c r="A56" s="587" t="s">
        <v>608</v>
      </c>
      <c r="B56" s="593" t="s">
        <v>588</v>
      </c>
      <c r="C56" s="601"/>
      <c r="D56" s="587" t="e">
        <f>VLOOKUP(L56,#REF!,COLUMN(#REF!))</f>
        <v>#REF!</v>
      </c>
      <c r="E56" s="587" t="e">
        <f>VLOOKUP(L56,#REF!,COLUMN(#REF!))</f>
        <v>#REF!</v>
      </c>
      <c r="F56" s="596"/>
      <c r="G56" s="597"/>
      <c r="H56" s="597"/>
      <c r="I56" s="590" t="e">
        <f>IF(ISNA(MATCH(K56,#REF!,0)),"нет такого кода",INDEX(#REF!,MATCH(K56,#REF!,0)))</f>
        <v>#REF!</v>
      </c>
      <c r="J56" s="598"/>
      <c r="K56" s="579" t="e">
        <f>IF(ISNA(MATCH(L56,#REF!,0)),"нет такого кода",INDEX(#REF!,MATCH(L56,#REF!,0)))</f>
        <v>#REF!</v>
      </c>
      <c r="L56" s="599">
        <v>51</v>
      </c>
      <c r="M56" s="602" t="e">
        <f>VLOOKUP(L56,#REF!,COLUMN(#REF!))</f>
        <v>#REF!</v>
      </c>
    </row>
    <row r="57" spans="1:13">
      <c r="A57" s="587" t="s">
        <v>609</v>
      </c>
      <c r="B57" s="593" t="s">
        <v>535</v>
      </c>
      <c r="C57" s="601"/>
      <c r="D57" s="587" t="e">
        <f>VLOOKUP(L57,#REF!,COLUMN(#REF!))</f>
        <v>#REF!</v>
      </c>
      <c r="E57" s="587" t="e">
        <f>VLOOKUP(L57,#REF!,COLUMN(#REF!))</f>
        <v>#REF!</v>
      </c>
      <c r="F57" s="596"/>
      <c r="G57" s="597"/>
      <c r="H57" s="597"/>
      <c r="I57" s="590" t="e">
        <f>IF(ISNA(MATCH(K57,#REF!,0)),"нет такого кода",INDEX(#REF!,MATCH(K57,#REF!,0)))</f>
        <v>#REF!</v>
      </c>
      <c r="J57" s="598"/>
      <c r="K57" s="579" t="e">
        <f>IF(ISNA(MATCH(L57,#REF!,0)),"нет такого кода",INDEX(#REF!,MATCH(L57,#REF!,0)))</f>
        <v>#REF!</v>
      </c>
      <c r="L57" s="599">
        <v>52</v>
      </c>
      <c r="M57" s="602" t="e">
        <f>VLOOKUP(L57,#REF!,COLUMN(#REF!))</f>
        <v>#REF!</v>
      </c>
    </row>
    <row r="58" spans="1:13" ht="24">
      <c r="A58" s="587" t="s">
        <v>610</v>
      </c>
      <c r="B58" s="593" t="s">
        <v>536</v>
      </c>
      <c r="C58" s="575"/>
      <c r="D58" s="587" t="e">
        <f>VLOOKUP(L58,#REF!,COLUMN(#REF!))</f>
        <v>#REF!</v>
      </c>
      <c r="E58" s="587" t="e">
        <f>VLOOKUP(L58,#REF!,COLUMN(#REF!))</f>
        <v>#REF!</v>
      </c>
      <c r="F58" s="596"/>
      <c r="G58" s="597"/>
      <c r="H58" s="597"/>
      <c r="I58" s="590" t="e">
        <f>IF(ISNA(MATCH(K58,#REF!,0)),"нет такого кода",INDEX(#REF!,MATCH(K58,#REF!,0)))</f>
        <v>#REF!</v>
      </c>
      <c r="J58" s="598"/>
      <c r="K58" s="579" t="e">
        <f>IF(ISNA(MATCH(L58,#REF!,0)),"нет такого кода",INDEX(#REF!,MATCH(L58,#REF!,0)))</f>
        <v>#REF!</v>
      </c>
      <c r="L58" s="592">
        <v>53</v>
      </c>
      <c r="M58" s="602" t="e">
        <f>VLOOKUP(L58,#REF!,COLUMN(#REF!))</f>
        <v>#REF!</v>
      </c>
    </row>
    <row r="59" spans="1:13">
      <c r="A59" s="587" t="s">
        <v>611</v>
      </c>
      <c r="B59" s="593" t="s">
        <v>589</v>
      </c>
      <c r="C59" s="587" t="e">
        <f>VLOOKUP(L59,#REF!,COLUMN(#REF!))</f>
        <v>#REF!</v>
      </c>
      <c r="D59" s="587" t="e">
        <f>VLOOKUP(L59,#REF!,COLUMN(#REF!))</f>
        <v>#REF!</v>
      </c>
      <c r="E59" s="587" t="e">
        <f>VLOOKUP(L59,#REF!,COLUMN(#REF!))</f>
        <v>#REF!</v>
      </c>
      <c r="F59" s="596"/>
      <c r="G59" s="597"/>
      <c r="H59" s="597"/>
      <c r="I59" s="590" t="e">
        <f>IF(ISNA(MATCH(K59,#REF!,0)),"нет такого кода",INDEX(#REF!,MATCH(K59,#REF!,0)))</f>
        <v>#REF!</v>
      </c>
      <c r="J59" s="598"/>
      <c r="K59" s="579" t="e">
        <f>IF(ISNA(MATCH(L59,#REF!,0)),"нет такого кода",INDEX(#REF!,MATCH(L59,#REF!,0)))</f>
        <v>#REF!</v>
      </c>
      <c r="L59" s="592">
        <v>54</v>
      </c>
      <c r="M59" s="602" t="e">
        <f>VLOOKUP(L59,#REF!,COLUMN(#REF!))</f>
        <v>#REF!</v>
      </c>
    </row>
    <row r="60" spans="1:13">
      <c r="A60" s="587"/>
      <c r="B60" s="575"/>
      <c r="C60" s="587" t="e">
        <f>VLOOKUP(L60,#REF!,COLUMN(#REF!))</f>
        <v>#REF!</v>
      </c>
      <c r="D60" s="587" t="e">
        <f>VLOOKUP(L60,#REF!,COLUMN(#REF!))</f>
        <v>#REF!</v>
      </c>
      <c r="E60" s="587" t="e">
        <f>VLOOKUP(L60,#REF!,COLUMN(#REF!))</f>
        <v>#REF!</v>
      </c>
      <c r="F60" s="596"/>
      <c r="G60" s="597"/>
      <c r="H60" s="597"/>
      <c r="I60" s="590" t="e">
        <f>IF(ISNA(MATCH(K60,#REF!,0)),"нет такого кода",INDEX(#REF!,MATCH(K60,#REF!,0)))</f>
        <v>#REF!</v>
      </c>
      <c r="J60" s="598"/>
      <c r="K60" s="579" t="e">
        <f>IF(ISNA(MATCH(L60,#REF!,0)),"нет такого кода",INDEX(#REF!,MATCH(L60,#REF!,0)))</f>
        <v>#REF!</v>
      </c>
      <c r="L60" s="592">
        <v>56</v>
      </c>
      <c r="M60" s="602" t="e">
        <f>VLOOKUP(L60,#REF!,COLUMN(#REF!))</f>
        <v>#REF!</v>
      </c>
    </row>
    <row r="61" spans="1:13">
      <c r="A61" s="587"/>
      <c r="B61" s="575"/>
      <c r="C61" s="587" t="e">
        <f>VLOOKUP(L61,#REF!,COLUMN(#REF!))</f>
        <v>#REF!</v>
      </c>
      <c r="D61" s="587" t="e">
        <f>VLOOKUP(L61,#REF!,COLUMN(#REF!))</f>
        <v>#REF!</v>
      </c>
      <c r="E61" s="587" t="e">
        <f>VLOOKUP(L61,#REF!,COLUMN(#REF!))</f>
        <v>#REF!</v>
      </c>
      <c r="F61" s="596">
        <v>300</v>
      </c>
      <c r="G61" s="597">
        <v>36</v>
      </c>
      <c r="H61" s="597"/>
      <c r="I61" s="590" t="e">
        <f>IF(ISNA(MATCH(K61,#REF!,0)),"нет такого кода",INDEX(#REF!,MATCH(K61,#REF!,0)))</f>
        <v>#REF!</v>
      </c>
      <c r="J61" s="598"/>
      <c r="K61" s="579" t="e">
        <f>IF(ISNA(MATCH(L61,#REF!,0)),"нет такого кода",INDEX(#REF!,MATCH(L61,#REF!,0)))</f>
        <v>#REF!</v>
      </c>
      <c r="L61" s="592">
        <v>58</v>
      </c>
      <c r="M61" s="602" t="e">
        <f>VLOOKUP(L61,#REF!,COLUMN(#REF!))</f>
        <v>#REF!</v>
      </c>
    </row>
    <row r="62" spans="1:13" ht="15.75">
      <c r="A62" s="801" t="s">
        <v>571</v>
      </c>
      <c r="B62" s="801"/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602" t="s">
        <v>715</v>
      </c>
    </row>
    <row r="63" spans="1:13">
      <c r="A63" s="587" t="s">
        <v>615</v>
      </c>
      <c r="B63" s="593" t="s">
        <v>612</v>
      </c>
      <c r="C63" s="575"/>
      <c r="D63" s="587"/>
      <c r="E63" s="587"/>
      <c r="F63" s="588"/>
      <c r="G63" s="589"/>
      <c r="H63" s="589"/>
      <c r="I63" s="590"/>
      <c r="J63" s="591"/>
      <c r="K63" s="579"/>
      <c r="L63" s="592"/>
      <c r="M63" s="602" t="s">
        <v>715</v>
      </c>
    </row>
    <row r="64" spans="1:13">
      <c r="A64" s="587"/>
      <c r="B64" s="575" t="s">
        <v>566</v>
      </c>
      <c r="C64" s="587" t="e">
        <f>VLOOKUP(L64,#REF!,COLUMN(#REF!))</f>
        <v>#REF!</v>
      </c>
      <c r="D64" s="587" t="e">
        <f>VLOOKUP(L64,#REF!,COLUMN(#REF!))</f>
        <v>#REF!</v>
      </c>
      <c r="E64" s="587" t="e">
        <f>VLOOKUP(L64,#REF!,COLUMN(#REF!))</f>
        <v>#REF!</v>
      </c>
      <c r="F64" s="596"/>
      <c r="G64" s="597"/>
      <c r="H64" s="597"/>
      <c r="I64" s="590" t="e">
        <f>IF(ISNA(MATCH(K64,#REF!,0)),"нет такого кода",INDEX(#REF!,MATCH(K64,#REF!,0)))</f>
        <v>#REF!</v>
      </c>
      <c r="J64" s="598"/>
      <c r="K64" s="579" t="e">
        <f>IF(ISNA(MATCH(L64,#REF!,0)),"нет такого кода",INDEX(#REF!,MATCH(L64,#REF!,0)))</f>
        <v>#REF!</v>
      </c>
      <c r="L64" s="592">
        <v>60</v>
      </c>
      <c r="M64" s="602" t="e">
        <f>VLOOKUP(L64,#REF!,COLUMN(#REF!))</f>
        <v>#REF!</v>
      </c>
    </row>
    <row r="65" spans="1:13">
      <c r="A65" s="587"/>
      <c r="B65" s="575"/>
      <c r="C65" s="587" t="e">
        <f>VLOOKUP(L65,#REF!,COLUMN(#REF!))</f>
        <v>#REF!</v>
      </c>
      <c r="D65" s="587" t="e">
        <f>VLOOKUP(L65,#REF!,COLUMN(#REF!))</f>
        <v>#REF!</v>
      </c>
      <c r="E65" s="587" t="e">
        <f>VLOOKUP(L65,#REF!,COLUMN(#REF!))</f>
        <v>#REF!</v>
      </c>
      <c r="F65" s="596"/>
      <c r="G65" s="597"/>
      <c r="H65" s="597"/>
      <c r="I65" s="590" t="e">
        <f>IF(ISNA(MATCH(K65,#REF!,0)),"нет такого кода",INDEX(#REF!,MATCH(K65,#REF!,0)))</f>
        <v>#REF!</v>
      </c>
      <c r="J65" s="598"/>
      <c r="K65" s="579" t="e">
        <f>IF(ISNA(MATCH(L65,#REF!,0)),"нет такого кода",INDEX(#REF!,MATCH(L65,#REF!,0)))</f>
        <v>#REF!</v>
      </c>
      <c r="L65" s="592">
        <v>61</v>
      </c>
      <c r="M65" s="602" t="e">
        <f>VLOOKUP(L65,#REF!,COLUMN(#REF!))</f>
        <v>#REF!</v>
      </c>
    </row>
    <row r="66" spans="1:13">
      <c r="A66" s="587"/>
      <c r="B66" s="575"/>
      <c r="C66" s="587" t="e">
        <f>VLOOKUP(L66,#REF!,COLUMN(#REF!))</f>
        <v>#REF!</v>
      </c>
      <c r="D66" s="587" t="e">
        <f>VLOOKUP(L66,#REF!,COLUMN(#REF!))</f>
        <v>#REF!</v>
      </c>
      <c r="E66" s="587" t="e">
        <f>VLOOKUP(L66,#REF!,COLUMN(#REF!))</f>
        <v>#REF!</v>
      </c>
      <c r="F66" s="596"/>
      <c r="G66" s="597"/>
      <c r="H66" s="597"/>
      <c r="I66" s="590" t="e">
        <f>IF(ISNA(MATCH(K66,#REF!,0)),"нет такого кода",INDEX(#REF!,MATCH(K66,#REF!,0)))</f>
        <v>#REF!</v>
      </c>
      <c r="J66" s="598"/>
      <c r="K66" s="579" t="e">
        <f>IF(ISNA(MATCH(L66,#REF!,0)),"нет такого кода",INDEX(#REF!,MATCH(L66,#REF!,0)))</f>
        <v>#REF!</v>
      </c>
      <c r="L66" s="592">
        <v>62</v>
      </c>
      <c r="M66" s="602" t="e">
        <f>VLOOKUP(L66,#REF!,COLUMN(#REF!))</f>
        <v>#REF!</v>
      </c>
    </row>
    <row r="67" spans="1:13">
      <c r="A67" s="587"/>
      <c r="B67" s="575" t="s">
        <v>565</v>
      </c>
      <c r="C67" s="587" t="e">
        <f>VLOOKUP(L67,#REF!,COLUMN(#REF!))</f>
        <v>#REF!</v>
      </c>
      <c r="D67" s="587" t="e">
        <f>VLOOKUP(L67,#REF!,COLUMN(#REF!))</f>
        <v>#REF!</v>
      </c>
      <c r="E67" s="587" t="e">
        <f>VLOOKUP(L67,#REF!,COLUMN(#REF!))</f>
        <v>#REF!</v>
      </c>
      <c r="F67" s="596"/>
      <c r="G67" s="597"/>
      <c r="H67" s="597"/>
      <c r="I67" s="590" t="e">
        <f>IF(ISNA(MATCH(K67,#REF!,0)),"нет такого кода",INDEX(#REF!,MATCH(K67,#REF!,0)))</f>
        <v>#REF!</v>
      </c>
      <c r="J67" s="598"/>
      <c r="K67" s="579" t="e">
        <f>IF(ISNA(MATCH(L67,#REF!,0)),"нет такого кода",INDEX(#REF!,MATCH(L67,#REF!,0)))</f>
        <v>#REF!</v>
      </c>
      <c r="L67" s="592">
        <v>63</v>
      </c>
      <c r="M67" s="602" t="e">
        <f>VLOOKUP(L67,#REF!,COLUMN(#REF!))</f>
        <v>#REF!</v>
      </c>
    </row>
    <row r="68" spans="1:13">
      <c r="A68" s="587"/>
      <c r="B68" s="575"/>
      <c r="C68" s="587" t="e">
        <f>VLOOKUP(L68,#REF!,COLUMN(#REF!))</f>
        <v>#REF!</v>
      </c>
      <c r="D68" s="587" t="e">
        <f>VLOOKUP(L68,#REF!,COLUMN(#REF!))</f>
        <v>#REF!</v>
      </c>
      <c r="E68" s="587" t="e">
        <f>VLOOKUP(L68,#REF!,COLUMN(#REF!))</f>
        <v>#REF!</v>
      </c>
      <c r="F68" s="596"/>
      <c r="G68" s="597"/>
      <c r="H68" s="597"/>
      <c r="I68" s="590" t="e">
        <f>IF(ISNA(MATCH(K68,#REF!,0)),"нет такого кода",INDEX(#REF!,MATCH(K68,#REF!,0)))</f>
        <v>#REF!</v>
      </c>
      <c r="J68" s="598"/>
      <c r="K68" s="579" t="e">
        <f>IF(ISNA(MATCH(L68,#REF!,0)),"нет такого кода",INDEX(#REF!,MATCH(L68,#REF!,0)))</f>
        <v>#REF!</v>
      </c>
      <c r="L68" s="592">
        <v>64</v>
      </c>
      <c r="M68" s="602" t="e">
        <f>VLOOKUP(L68,#REF!,COLUMN(#REF!))</f>
        <v>#REF!</v>
      </c>
    </row>
    <row r="69" spans="1:13">
      <c r="A69" s="587"/>
      <c r="B69" s="575"/>
      <c r="C69" s="587" t="e">
        <f>VLOOKUP(L69,#REF!,COLUMN(#REF!))</f>
        <v>#REF!</v>
      </c>
      <c r="D69" s="587" t="e">
        <f>VLOOKUP(L69,#REF!,COLUMN(#REF!))</f>
        <v>#REF!</v>
      </c>
      <c r="E69" s="587" t="e">
        <f>VLOOKUP(L69,#REF!,COLUMN(#REF!))</f>
        <v>#REF!</v>
      </c>
      <c r="F69" s="596"/>
      <c r="G69" s="597"/>
      <c r="H69" s="597"/>
      <c r="I69" s="590" t="e">
        <f>IF(ISNA(MATCH(K69,#REF!,0)),"нет такого кода",INDEX(#REF!,MATCH(K69,#REF!,0)))</f>
        <v>#REF!</v>
      </c>
      <c r="J69" s="598"/>
      <c r="K69" s="579" t="e">
        <f>IF(ISNA(MATCH(L69,#REF!,0)),"нет такого кода",INDEX(#REF!,MATCH(L69,#REF!,0)))</f>
        <v>#REF!</v>
      </c>
      <c r="L69" s="592">
        <v>65</v>
      </c>
      <c r="M69" s="602" t="e">
        <f>VLOOKUP(L69,#REF!,COLUMN(#REF!))</f>
        <v>#REF!</v>
      </c>
    </row>
    <row r="70" spans="1:13">
      <c r="A70" s="587"/>
      <c r="B70" s="575" t="s">
        <v>564</v>
      </c>
      <c r="C70" s="587" t="e">
        <f>VLOOKUP(L70,#REF!,COLUMN(#REF!))</f>
        <v>#REF!</v>
      </c>
      <c r="D70" s="587" t="e">
        <f>VLOOKUP(L70,#REF!,COLUMN(#REF!))</f>
        <v>#REF!</v>
      </c>
      <c r="E70" s="587" t="e">
        <f>VLOOKUP(L70,#REF!,COLUMN(#REF!))</f>
        <v>#REF!</v>
      </c>
      <c r="F70" s="596"/>
      <c r="G70" s="597"/>
      <c r="H70" s="597"/>
      <c r="I70" s="590" t="e">
        <f>IF(ISNA(MATCH(K70,#REF!,0)),"нет такого кода",INDEX(#REF!,MATCH(K70,#REF!,0)))</f>
        <v>#REF!</v>
      </c>
      <c r="J70" s="598"/>
      <c r="K70" s="579" t="e">
        <f>IF(ISNA(MATCH(L70,#REF!,0)),"нет такого кода",INDEX(#REF!,MATCH(L70,#REF!,0)))</f>
        <v>#REF!</v>
      </c>
      <c r="L70" s="592">
        <v>66</v>
      </c>
      <c r="M70" s="602" t="e">
        <f>VLOOKUP(L70,#REF!,COLUMN(#REF!))</f>
        <v>#REF!</v>
      </c>
    </row>
    <row r="71" spans="1:13">
      <c r="A71" s="587"/>
      <c r="B71" s="575"/>
      <c r="C71" s="587" t="e">
        <f>VLOOKUP(L71,#REF!,COLUMN(#REF!))</f>
        <v>#REF!</v>
      </c>
      <c r="D71" s="587" t="e">
        <f>VLOOKUP(L71,#REF!,COLUMN(#REF!))</f>
        <v>#REF!</v>
      </c>
      <c r="E71" s="587" t="e">
        <f>VLOOKUP(L71,#REF!,COLUMN(#REF!))</f>
        <v>#REF!</v>
      </c>
      <c r="F71" s="596"/>
      <c r="G71" s="597"/>
      <c r="H71" s="597"/>
      <c r="I71" s="590" t="e">
        <f>IF(ISNA(MATCH(K71,#REF!,0)),"нет такого кода",INDEX(#REF!,MATCH(K71,#REF!,0)))</f>
        <v>#REF!</v>
      </c>
      <c r="J71" s="598"/>
      <c r="K71" s="579" t="e">
        <f>IF(ISNA(MATCH(L71,#REF!,0)),"нет такого кода",INDEX(#REF!,MATCH(L71,#REF!,0)))</f>
        <v>#REF!</v>
      </c>
      <c r="L71" s="592">
        <v>67</v>
      </c>
      <c r="M71" s="602" t="e">
        <f>VLOOKUP(L71,#REF!,COLUMN(#REF!))</f>
        <v>#REF!</v>
      </c>
    </row>
    <row r="72" spans="1:13">
      <c r="A72" s="587"/>
      <c r="B72" s="575"/>
      <c r="C72" s="587" t="e">
        <f>VLOOKUP(L72,#REF!,COLUMN(#REF!))</f>
        <v>#REF!</v>
      </c>
      <c r="D72" s="587" t="e">
        <f>VLOOKUP(L72,#REF!,COLUMN(#REF!))</f>
        <v>#REF!</v>
      </c>
      <c r="E72" s="587" t="e">
        <f>VLOOKUP(L72,#REF!,COLUMN(#REF!))</f>
        <v>#REF!</v>
      </c>
      <c r="F72" s="596"/>
      <c r="G72" s="597"/>
      <c r="H72" s="597"/>
      <c r="I72" s="590" t="e">
        <f>IF(ISNA(MATCH(K72,#REF!,0)),"нет такого кода",INDEX(#REF!,MATCH(K72,#REF!,0)))</f>
        <v>#REF!</v>
      </c>
      <c r="J72" s="598"/>
      <c r="K72" s="579" t="e">
        <f>IF(ISNA(MATCH(L72,#REF!,0)),"нет такого кода",INDEX(#REF!,MATCH(L72,#REF!,0)))</f>
        <v>#REF!</v>
      </c>
      <c r="L72" s="592">
        <v>68</v>
      </c>
      <c r="M72" s="602" t="e">
        <f>VLOOKUP(L72,#REF!,COLUMN(#REF!))</f>
        <v>#REF!</v>
      </c>
    </row>
    <row r="73" spans="1:13" ht="24">
      <c r="A73" s="587" t="s">
        <v>616</v>
      </c>
      <c r="B73" s="593" t="s">
        <v>537</v>
      </c>
      <c r="C73" s="587" t="e">
        <f>VLOOKUP(L73,#REF!,COLUMN(#REF!))</f>
        <v>#REF!</v>
      </c>
      <c r="D73" s="587" t="e">
        <f>VLOOKUP(L73,#REF!,COLUMN(#REF!))</f>
        <v>#REF!</v>
      </c>
      <c r="E73" s="587" t="e">
        <f>VLOOKUP(L73,#REF!,COLUMN(#REF!))</f>
        <v>#REF!</v>
      </c>
      <c r="F73" s="596"/>
      <c r="G73" s="597"/>
      <c r="H73" s="597"/>
      <c r="I73" s="590" t="e">
        <f>IF(ISNA(MATCH(K73,#REF!,0)),"нет такого кода",INDEX(#REF!,MATCH(K73,#REF!,0)))</f>
        <v>#REF!</v>
      </c>
      <c r="J73" s="598"/>
      <c r="K73" s="579" t="e">
        <f>IF(ISNA(MATCH(L73,#REF!,0)),"нет такого кода",INDEX(#REF!,MATCH(L73,#REF!,0)))</f>
        <v>#REF!</v>
      </c>
      <c r="L73" s="592">
        <v>69</v>
      </c>
      <c r="M73" s="602" t="e">
        <f>VLOOKUP(L73,#REF!,COLUMN(#REF!))</f>
        <v>#REF!</v>
      </c>
    </row>
    <row r="74" spans="1:13">
      <c r="A74" s="587"/>
      <c r="B74" s="575"/>
      <c r="C74" s="587" t="e">
        <f>VLOOKUP(L74,#REF!,COLUMN(#REF!))</f>
        <v>#REF!</v>
      </c>
      <c r="D74" s="587" t="e">
        <f>VLOOKUP(L74,#REF!,COLUMN(#REF!))</f>
        <v>#REF!</v>
      </c>
      <c r="E74" s="587" t="e">
        <f>VLOOKUP(L74,#REF!,COLUMN(#REF!))</f>
        <v>#REF!</v>
      </c>
      <c r="F74" s="596"/>
      <c r="G74" s="597"/>
      <c r="H74" s="597"/>
      <c r="I74" s="590" t="e">
        <f>IF(ISNA(MATCH(K74,#REF!,0)),"нет такого кода",INDEX(#REF!,MATCH(K74,#REF!,0)))</f>
        <v>#REF!</v>
      </c>
      <c r="J74" s="598"/>
      <c r="K74" s="579" t="e">
        <f>IF(ISNA(MATCH(L74,#REF!,0)),"нет такого кода",INDEX(#REF!,MATCH(L74,#REF!,0)))</f>
        <v>#REF!</v>
      </c>
      <c r="L74" s="592">
        <v>70</v>
      </c>
      <c r="M74" s="602" t="e">
        <f>VLOOKUP(L74,#REF!,COLUMN(#REF!))</f>
        <v>#REF!</v>
      </c>
    </row>
    <row r="75" spans="1:13">
      <c r="A75" s="587"/>
      <c r="B75" s="575"/>
      <c r="C75" s="587" t="e">
        <f>VLOOKUP(L75,#REF!,COLUMN(#REF!))</f>
        <v>#REF!</v>
      </c>
      <c r="D75" s="587" t="e">
        <f>VLOOKUP(L75,#REF!,COLUMN(#REF!))</f>
        <v>#REF!</v>
      </c>
      <c r="E75" s="587" t="e">
        <f>VLOOKUP(L75,#REF!,COLUMN(#REF!))</f>
        <v>#REF!</v>
      </c>
      <c r="F75" s="596"/>
      <c r="G75" s="597"/>
      <c r="H75" s="597"/>
      <c r="I75" s="590" t="e">
        <f>IF(ISNA(MATCH(K75,#REF!,0)),"нет такого кода",INDEX(#REF!,MATCH(K75,#REF!,0)))</f>
        <v>#REF!</v>
      </c>
      <c r="J75" s="598"/>
      <c r="K75" s="579" t="e">
        <f>IF(ISNA(MATCH(L75,#REF!,0)),"нет такого кода",INDEX(#REF!,MATCH(L75,#REF!,0)))</f>
        <v>#REF!</v>
      </c>
      <c r="L75" s="592">
        <v>71</v>
      </c>
      <c r="M75" s="602" t="e">
        <f>VLOOKUP(L75,#REF!,COLUMN(#REF!))</f>
        <v>#REF!</v>
      </c>
    </row>
    <row r="76" spans="1:13" ht="24">
      <c r="A76" s="587" t="s">
        <v>617</v>
      </c>
      <c r="B76" s="593" t="s">
        <v>613</v>
      </c>
      <c r="C76" s="587" t="e">
        <f>VLOOKUP(L76,#REF!,COLUMN(#REF!))</f>
        <v>#REF!</v>
      </c>
      <c r="D76" s="587" t="e">
        <f>VLOOKUP(L76,#REF!,COLUMN(#REF!))</f>
        <v>#REF!</v>
      </c>
      <c r="E76" s="587" t="e">
        <f>VLOOKUP(L76,#REF!,COLUMN(#REF!))</f>
        <v>#REF!</v>
      </c>
      <c r="F76" s="596"/>
      <c r="G76" s="597"/>
      <c r="H76" s="597"/>
      <c r="I76" s="590" t="e">
        <f>IF(ISNA(MATCH(K76,#REF!,0)),"нет такого кода",INDEX(#REF!,MATCH(K76,#REF!,0)))</f>
        <v>#REF!</v>
      </c>
      <c r="J76" s="598"/>
      <c r="K76" s="579" t="e">
        <f>IF(ISNA(MATCH(L76,#REF!,0)),"нет такого кода",INDEX(#REF!,MATCH(L76,#REF!,0)))</f>
        <v>#REF!</v>
      </c>
      <c r="L76" s="592">
        <v>72</v>
      </c>
      <c r="M76" s="602" t="e">
        <f>VLOOKUP(L76,#REF!,COLUMN(#REF!))</f>
        <v>#REF!</v>
      </c>
    </row>
    <row r="77" spans="1:13">
      <c r="A77" s="587"/>
      <c r="B77" s="575"/>
      <c r="C77" s="587" t="e">
        <f>VLOOKUP(L77,#REF!,COLUMN(#REF!))</f>
        <v>#REF!</v>
      </c>
      <c r="D77" s="587" t="e">
        <f>VLOOKUP(L77,#REF!,COLUMN(#REF!))</f>
        <v>#REF!</v>
      </c>
      <c r="E77" s="587" t="e">
        <f>VLOOKUP(L77,#REF!,COLUMN(#REF!))</f>
        <v>#REF!</v>
      </c>
      <c r="F77" s="596"/>
      <c r="G77" s="597"/>
      <c r="H77" s="597"/>
      <c r="I77" s="590" t="e">
        <f>IF(ISNA(MATCH(K77,#REF!,0)),"нет такого кода",INDEX(#REF!,MATCH(K77,#REF!,0)))</f>
        <v>#REF!</v>
      </c>
      <c r="J77" s="598"/>
      <c r="K77" s="579" t="e">
        <f>IF(ISNA(MATCH(L77,#REF!,0)),"нет такого кода",INDEX(#REF!,MATCH(L77,#REF!,0)))</f>
        <v>#REF!</v>
      </c>
      <c r="L77" s="592">
        <v>74</v>
      </c>
      <c r="M77" s="602" t="e">
        <f>VLOOKUP(L77,#REF!,COLUMN(#REF!))</f>
        <v>#REF!</v>
      </c>
    </row>
    <row r="78" spans="1:13">
      <c r="A78" s="587"/>
      <c r="B78" s="575"/>
      <c r="C78" s="587" t="e">
        <f>VLOOKUP(L78,#REF!,COLUMN(#REF!))</f>
        <v>#REF!</v>
      </c>
      <c r="D78" s="587" t="e">
        <f>VLOOKUP(L78,#REF!,COLUMN(#REF!))</f>
        <v>#REF!</v>
      </c>
      <c r="E78" s="587" t="e">
        <f>VLOOKUP(L78,#REF!,COLUMN(#REF!))</f>
        <v>#REF!</v>
      </c>
      <c r="F78" s="596"/>
      <c r="G78" s="597"/>
      <c r="H78" s="597"/>
      <c r="I78" s="590" t="e">
        <f>IF(ISNA(MATCH(K78,#REF!,0)),"нет такого кода",INDEX(#REF!,MATCH(K78,#REF!,0)))</f>
        <v>#REF!</v>
      </c>
      <c r="J78" s="598"/>
      <c r="K78" s="579" t="e">
        <f>IF(ISNA(MATCH(L78,#REF!,0)),"нет такого кода",INDEX(#REF!,MATCH(L78,#REF!,0)))</f>
        <v>#REF!</v>
      </c>
      <c r="L78" s="592">
        <v>76</v>
      </c>
      <c r="M78" s="602" t="e">
        <f>VLOOKUP(L78,#REF!,COLUMN(#REF!))</f>
        <v>#REF!</v>
      </c>
    </row>
    <row r="79" spans="1:13" ht="24">
      <c r="A79" s="587" t="s">
        <v>618</v>
      </c>
      <c r="B79" s="593" t="s">
        <v>614</v>
      </c>
      <c r="C79" s="587" t="e">
        <f>VLOOKUP(L79,#REF!,COLUMN(#REF!))</f>
        <v>#REF!</v>
      </c>
      <c r="D79" s="587" t="e">
        <f>VLOOKUP(L79,#REF!,COLUMN(#REF!))</f>
        <v>#REF!</v>
      </c>
      <c r="E79" s="587" t="e">
        <f>VLOOKUP(L79,#REF!,COLUMN(#REF!))</f>
        <v>#REF!</v>
      </c>
      <c r="F79" s="596"/>
      <c r="G79" s="597"/>
      <c r="H79" s="597"/>
      <c r="I79" s="590" t="e">
        <f>IF(ISNA(MATCH(K79,#REF!,0)),"нет такого кода",INDEX(#REF!,MATCH(K79,#REF!,0)))</f>
        <v>#REF!</v>
      </c>
      <c r="J79" s="598"/>
      <c r="K79" s="579" t="e">
        <f>IF(ISNA(MATCH(L79,#REF!,0)),"нет такого кода",INDEX(#REF!,MATCH(L79,#REF!,0)))</f>
        <v>#REF!</v>
      </c>
      <c r="L79" s="592">
        <v>80</v>
      </c>
      <c r="M79" s="602" t="e">
        <f>VLOOKUP(L79,#REF!,COLUMN(#REF!))</f>
        <v>#REF!</v>
      </c>
    </row>
    <row r="80" spans="1:13">
      <c r="A80" s="587"/>
      <c r="B80" s="575"/>
      <c r="C80" s="587" t="e">
        <f>VLOOKUP(L80,#REF!,COLUMN(#REF!))</f>
        <v>#REF!</v>
      </c>
      <c r="D80" s="587" t="e">
        <f>VLOOKUP(L80,#REF!,COLUMN(#REF!))</f>
        <v>#REF!</v>
      </c>
      <c r="E80" s="587" t="e">
        <f>VLOOKUP(L80,#REF!,COLUMN(#REF!))</f>
        <v>#REF!</v>
      </c>
      <c r="F80" s="596"/>
      <c r="G80" s="597"/>
      <c r="H80" s="597"/>
      <c r="I80" s="590" t="e">
        <f>IF(ISNA(MATCH(K80,#REF!,0)),"нет такого кода",INDEX(#REF!,MATCH(K80,#REF!,0)))</f>
        <v>#REF!</v>
      </c>
      <c r="J80" s="598"/>
      <c r="K80" s="579" t="e">
        <f>IF(ISNA(MATCH(L80,#REF!,0)),"нет такого кода",INDEX(#REF!,MATCH(L80,#REF!,0)))</f>
        <v>#REF!</v>
      </c>
      <c r="L80" s="592">
        <v>83</v>
      </c>
      <c r="M80" s="602" t="e">
        <f>VLOOKUP(L80,#REF!,COLUMN(#REF!))</f>
        <v>#REF!</v>
      </c>
    </row>
    <row r="81" spans="1:13">
      <c r="A81" s="587"/>
      <c r="B81" s="575"/>
      <c r="C81" s="587" t="e">
        <f>VLOOKUP(L81,#REF!,COLUMN(#REF!))</f>
        <v>#REF!</v>
      </c>
      <c r="D81" s="587" t="e">
        <f>VLOOKUP(L81,#REF!,COLUMN(#REF!))</f>
        <v>#REF!</v>
      </c>
      <c r="E81" s="587" t="e">
        <f>VLOOKUP(L81,#REF!,COLUMN(#REF!))</f>
        <v>#REF!</v>
      </c>
      <c r="F81" s="596"/>
      <c r="G81" s="597"/>
      <c r="H81" s="597"/>
      <c r="I81" s="590" t="e">
        <f>IF(ISNA(MATCH(K81,#REF!,0)),"нет такого кода",INDEX(#REF!,MATCH(K81,#REF!,0)))</f>
        <v>#REF!</v>
      </c>
      <c r="J81" s="598"/>
      <c r="K81" s="579" t="e">
        <f>IF(ISNA(MATCH(L81,#REF!,0)),"нет такого кода",INDEX(#REF!,MATCH(L81,#REF!,0)))</f>
        <v>#REF!</v>
      </c>
      <c r="L81" s="592">
        <v>86</v>
      </c>
      <c r="M81" s="602" t="e">
        <f>VLOOKUP(L81,#REF!,COLUMN(#REF!))</f>
        <v>#REF!</v>
      </c>
    </row>
    <row r="82" spans="1:13" ht="24">
      <c r="A82" s="587" t="s">
        <v>619</v>
      </c>
      <c r="B82" s="593" t="s">
        <v>538</v>
      </c>
      <c r="C82" s="575"/>
      <c r="D82" s="587" t="e">
        <f>VLOOKUP(L82,#REF!,COLUMN(#REF!))</f>
        <v>#REF!</v>
      </c>
      <c r="E82" s="587" t="e">
        <f>VLOOKUP(L82,#REF!,COLUMN(#REF!))</f>
        <v>#REF!</v>
      </c>
      <c r="F82" s="596"/>
      <c r="G82" s="597"/>
      <c r="H82" s="597"/>
      <c r="I82" s="590" t="e">
        <f>IF(ISNA(MATCH(K82,#REF!,0)),"нет такого кода",INDEX(#REF!,MATCH(K82,#REF!,0)))</f>
        <v>#REF!</v>
      </c>
      <c r="J82" s="598"/>
      <c r="K82" s="579" t="e">
        <f>IF(ISNA(MATCH(L82,#REF!,0)),"нет такого кода",INDEX(#REF!,MATCH(L82,#REF!,0)))</f>
        <v>#REF!</v>
      </c>
      <c r="L82" s="592">
        <v>123</v>
      </c>
      <c r="M82" s="602" t="e">
        <f>VLOOKUP(L82,#REF!,COLUMN(#REF!))</f>
        <v>#REF!</v>
      </c>
    </row>
    <row r="83" spans="1:13" ht="24">
      <c r="A83" s="587"/>
      <c r="B83" s="593" t="s">
        <v>539</v>
      </c>
      <c r="C83" s="575"/>
      <c r="D83" s="587" t="e">
        <f>VLOOKUP(L83,#REF!,COLUMN(#REF!))</f>
        <v>#REF!</v>
      </c>
      <c r="E83" s="587" t="e">
        <f>VLOOKUP(L83,#REF!,COLUMN(#REF!))</f>
        <v>#REF!</v>
      </c>
      <c r="F83" s="596"/>
      <c r="G83" s="597"/>
      <c r="H83" s="597"/>
      <c r="I83" s="590" t="e">
        <f>IF(ISNA(MATCH(K83,#REF!,0)),"нет такого кода",INDEX(#REF!,MATCH(K83,#REF!,0)))</f>
        <v>#REF!</v>
      </c>
      <c r="J83" s="598"/>
      <c r="K83" s="579" t="e">
        <f>IF(ISNA(MATCH(L83,#REF!,0)),"нет такого кода",INDEX(#REF!,MATCH(L83,#REF!,0)))</f>
        <v>#REF!</v>
      </c>
      <c r="L83" s="592">
        <v>124</v>
      </c>
      <c r="M83" s="602" t="e">
        <f>VLOOKUP(L83,#REF!,COLUMN(#REF!))</f>
        <v>#REF!</v>
      </c>
    </row>
    <row r="84" spans="1:13">
      <c r="A84" s="587"/>
      <c r="B84" s="593" t="s">
        <v>540</v>
      </c>
      <c r="C84" s="575"/>
      <c r="D84" s="587" t="e">
        <f>VLOOKUP(L84,#REF!,COLUMN(#REF!))</f>
        <v>#REF!</v>
      </c>
      <c r="E84" s="587" t="e">
        <f>VLOOKUP(L84,#REF!,COLUMN(#REF!))</f>
        <v>#REF!</v>
      </c>
      <c r="F84" s="596"/>
      <c r="G84" s="597"/>
      <c r="H84" s="597"/>
      <c r="I84" s="590" t="e">
        <f>IF(ISNA(MATCH(K84,#REF!,0)),"нет такого кода",INDEX(#REF!,MATCH(K84,#REF!,0)))</f>
        <v>#REF!</v>
      </c>
      <c r="J84" s="598"/>
      <c r="K84" s="579" t="e">
        <f>IF(ISNA(MATCH(L84,#REF!,0)),"нет такого кода",INDEX(#REF!,MATCH(L84,#REF!,0)))</f>
        <v>#REF!</v>
      </c>
      <c r="L84" s="592">
        <v>125</v>
      </c>
      <c r="M84" s="602" t="e">
        <f>VLOOKUP(L84,#REF!,COLUMN(#REF!))</f>
        <v>#REF!</v>
      </c>
    </row>
    <row r="85" spans="1:13">
      <c r="A85" s="587"/>
      <c r="B85" s="593" t="s">
        <v>541</v>
      </c>
      <c r="C85" s="575"/>
      <c r="D85" s="587" t="e">
        <f>VLOOKUP(L85,#REF!,COLUMN(#REF!))</f>
        <v>#REF!</v>
      </c>
      <c r="E85" s="587" t="e">
        <f>VLOOKUP(L85,#REF!,COLUMN(#REF!))</f>
        <v>#REF!</v>
      </c>
      <c r="F85" s="596"/>
      <c r="G85" s="597"/>
      <c r="H85" s="597"/>
      <c r="I85" s="590" t="e">
        <f>IF(ISNA(MATCH(K85,#REF!,0)),"нет такого кода",INDEX(#REF!,MATCH(K85,#REF!,0)))</f>
        <v>#REF!</v>
      </c>
      <c r="J85" s="598"/>
      <c r="K85" s="579" t="e">
        <f>IF(ISNA(MATCH(L85,#REF!,0)),"нет такого кода",INDEX(#REF!,MATCH(L85,#REF!,0)))</f>
        <v>#REF!</v>
      </c>
      <c r="L85" s="592">
        <v>126</v>
      </c>
      <c r="M85" s="602" t="e">
        <f>VLOOKUP(L85,#REF!,COLUMN(#REF!))</f>
        <v>#REF!</v>
      </c>
    </row>
    <row r="86" spans="1:13">
      <c r="A86" s="587"/>
      <c r="B86" s="593" t="s">
        <v>620</v>
      </c>
      <c r="C86" s="575"/>
      <c r="D86" s="587" t="e">
        <f>VLOOKUP(L86,#REF!,COLUMN(#REF!))</f>
        <v>#REF!</v>
      </c>
      <c r="E86" s="587" t="e">
        <f>VLOOKUP(L86,#REF!,COLUMN(#REF!))</f>
        <v>#REF!</v>
      </c>
      <c r="F86" s="596"/>
      <c r="G86" s="597"/>
      <c r="H86" s="597"/>
      <c r="I86" s="590" t="e">
        <f>IF(ISNA(MATCH(K86,#REF!,0)),"нет такого кода",INDEX(#REF!,MATCH(K86,#REF!,0)))</f>
        <v>#REF!</v>
      </c>
      <c r="J86" s="598"/>
      <c r="K86" s="579" t="e">
        <f>IF(ISNA(MATCH(L86,#REF!,0)),"нет такого кода",INDEX(#REF!,MATCH(L86,#REF!,0)))</f>
        <v>#REF!</v>
      </c>
      <c r="L86" s="592">
        <v>130</v>
      </c>
      <c r="M86" s="602" t="e">
        <f>VLOOKUP(L86,#REF!,COLUMN(#REF!))</f>
        <v>#REF!</v>
      </c>
    </row>
    <row r="87" spans="1:13" ht="24">
      <c r="A87" s="587"/>
      <c r="B87" s="593" t="s">
        <v>621</v>
      </c>
      <c r="C87" s="575"/>
      <c r="D87" s="587" t="e">
        <f>VLOOKUP(L87,#REF!,COLUMN(#REF!))</f>
        <v>#REF!</v>
      </c>
      <c r="E87" s="587" t="e">
        <f>VLOOKUP(L87,#REF!,COLUMN(#REF!))</f>
        <v>#REF!</v>
      </c>
      <c r="F87" s="596"/>
      <c r="G87" s="597"/>
      <c r="H87" s="597"/>
      <c r="I87" s="590" t="e">
        <f>IF(ISNA(MATCH(K87,#REF!,0)),"нет такого кода",INDEX(#REF!,MATCH(K87,#REF!,0)))</f>
        <v>#REF!</v>
      </c>
      <c r="J87" s="598"/>
      <c r="K87" s="579" t="e">
        <f>IF(ISNA(MATCH(L87,#REF!,0)),"нет такого кода",INDEX(#REF!,MATCH(L87,#REF!,0)))</f>
        <v>#REF!</v>
      </c>
      <c r="L87" s="592">
        <v>131</v>
      </c>
      <c r="M87" s="602" t="e">
        <f>VLOOKUP(L87,#REF!,COLUMN(#REF!))</f>
        <v>#REF!</v>
      </c>
    </row>
    <row r="88" spans="1:13">
      <c r="A88" s="587"/>
      <c r="B88" s="593" t="s">
        <v>622</v>
      </c>
      <c r="C88" s="575"/>
      <c r="D88" s="587" t="e">
        <f>VLOOKUP(L88,#REF!,COLUMN(#REF!))</f>
        <v>#REF!</v>
      </c>
      <c r="E88" s="587" t="e">
        <f>VLOOKUP(L88,#REF!,COLUMN(#REF!))</f>
        <v>#REF!</v>
      </c>
      <c r="F88" s="596"/>
      <c r="G88" s="597"/>
      <c r="H88" s="597"/>
      <c r="I88" s="590" t="e">
        <f>IF(ISNA(MATCH(K88,#REF!,0)),"нет такого кода",INDEX(#REF!,MATCH(K88,#REF!,0)))</f>
        <v>#REF!</v>
      </c>
      <c r="J88" s="598"/>
      <c r="K88" s="579" t="e">
        <f>IF(ISNA(MATCH(L88,#REF!,0)),"нет такого кода",INDEX(#REF!,MATCH(L88,#REF!,0)))</f>
        <v>#REF!</v>
      </c>
      <c r="L88" s="592">
        <v>132</v>
      </c>
      <c r="M88" s="602" t="e">
        <f>VLOOKUP(L88,#REF!,COLUMN(#REF!))</f>
        <v>#REF!</v>
      </c>
    </row>
    <row r="89" spans="1:13">
      <c r="A89" s="587"/>
      <c r="B89" s="593" t="s">
        <v>623</v>
      </c>
      <c r="C89" s="575"/>
      <c r="D89" s="587" t="e">
        <f>VLOOKUP(L89,#REF!,COLUMN(#REF!))</f>
        <v>#REF!</v>
      </c>
      <c r="E89" s="587" t="e">
        <f>VLOOKUP(L89,#REF!,COLUMN(#REF!))</f>
        <v>#REF!</v>
      </c>
      <c r="F89" s="596"/>
      <c r="G89" s="597"/>
      <c r="H89" s="597"/>
      <c r="I89" s="590" t="e">
        <f>IF(ISNA(MATCH(K89,#REF!,0)),"нет такого кода",INDEX(#REF!,MATCH(K89,#REF!,0)))</f>
        <v>#REF!</v>
      </c>
      <c r="J89" s="598"/>
      <c r="K89" s="579" t="e">
        <f>IF(ISNA(MATCH(L89,#REF!,0)),"нет такого кода",INDEX(#REF!,MATCH(L89,#REF!,0)))</f>
        <v>#REF!</v>
      </c>
      <c r="L89" s="592">
        <v>133</v>
      </c>
      <c r="M89" s="602" t="e">
        <f>VLOOKUP(L89,#REF!,COLUMN(#REF!))</f>
        <v>#REF!</v>
      </c>
    </row>
    <row r="90" spans="1:13" ht="24">
      <c r="A90" s="587"/>
      <c r="B90" s="593" t="s">
        <v>624</v>
      </c>
      <c r="C90" s="575"/>
      <c r="D90" s="587" t="e">
        <f>VLOOKUP(L90,#REF!,COLUMN(#REF!))</f>
        <v>#REF!</v>
      </c>
      <c r="E90" s="587" t="e">
        <f>VLOOKUP(L90,#REF!,COLUMN(#REF!))</f>
        <v>#REF!</v>
      </c>
      <c r="F90" s="596"/>
      <c r="G90" s="597"/>
      <c r="H90" s="597"/>
      <c r="I90" s="590" t="e">
        <f>IF(ISNA(MATCH(K90,#REF!,0)),"нет такого кода",INDEX(#REF!,MATCH(K90,#REF!,0)))</f>
        <v>#REF!</v>
      </c>
      <c r="J90" s="598"/>
      <c r="K90" s="579" t="e">
        <f>IF(ISNA(MATCH(L90,#REF!,0)),"нет такого кода",INDEX(#REF!,MATCH(L90,#REF!,0)))</f>
        <v>#REF!</v>
      </c>
      <c r="L90" s="592">
        <v>137</v>
      </c>
      <c r="M90" s="602" t="e">
        <f>VLOOKUP(L90,#REF!,COLUMN(#REF!))</f>
        <v>#REF!</v>
      </c>
    </row>
    <row r="91" spans="1:13">
      <c r="A91" s="587"/>
      <c r="B91" s="593" t="s">
        <v>625</v>
      </c>
      <c r="C91" s="575"/>
      <c r="D91" s="587" t="e">
        <f>VLOOKUP(L91,#REF!,COLUMN(#REF!))</f>
        <v>#REF!</v>
      </c>
      <c r="E91" s="587" t="e">
        <f>VLOOKUP(L91,#REF!,COLUMN(#REF!))</f>
        <v>#REF!</v>
      </c>
      <c r="F91" s="596"/>
      <c r="G91" s="597"/>
      <c r="H91" s="597"/>
      <c r="I91" s="590" t="e">
        <f>IF(ISNA(MATCH(K91,#REF!,0)),"нет такого кода",INDEX(#REF!,MATCH(K91,#REF!,0)))</f>
        <v>#REF!</v>
      </c>
      <c r="J91" s="598"/>
      <c r="K91" s="579" t="e">
        <f>IF(ISNA(MATCH(L91,#REF!,0)),"нет такого кода",INDEX(#REF!,MATCH(L91,#REF!,0)))</f>
        <v>#REF!</v>
      </c>
      <c r="L91" s="592">
        <v>141</v>
      </c>
      <c r="M91" s="602" t="e">
        <f>VLOOKUP(L91,#REF!,COLUMN(#REF!))</f>
        <v>#REF!</v>
      </c>
    </row>
    <row r="92" spans="1:13">
      <c r="A92" s="587"/>
      <c r="B92" s="593" t="s">
        <v>626</v>
      </c>
      <c r="C92" s="575"/>
      <c r="D92" s="587" t="e">
        <f>VLOOKUP(L92,#REF!,COLUMN(#REF!))</f>
        <v>#REF!</v>
      </c>
      <c r="E92" s="587" t="e">
        <f>VLOOKUP(L92,#REF!,COLUMN(#REF!))</f>
        <v>#REF!</v>
      </c>
      <c r="F92" s="596"/>
      <c r="G92" s="597"/>
      <c r="H92" s="597"/>
      <c r="I92" s="590" t="e">
        <f>IF(ISNA(MATCH(K92,#REF!,0)),"нет такого кода",INDEX(#REF!,MATCH(K92,#REF!,0)))</f>
        <v>#REF!</v>
      </c>
      <c r="J92" s="598"/>
      <c r="K92" s="579" t="e">
        <f>IF(ISNA(MATCH(L92,#REF!,0)),"нет такого кода",INDEX(#REF!,MATCH(L92,#REF!,0)))</f>
        <v>#REF!</v>
      </c>
      <c r="L92" s="592">
        <v>145</v>
      </c>
      <c r="M92" s="602" t="e">
        <f>VLOOKUP(L92,#REF!,COLUMN(#REF!))</f>
        <v>#REF!</v>
      </c>
    </row>
    <row r="93" spans="1:13" ht="24">
      <c r="A93" s="587"/>
      <c r="B93" s="593" t="s">
        <v>627</v>
      </c>
      <c r="C93" s="575"/>
      <c r="D93" s="587" t="e">
        <f>VLOOKUP(L93,#REF!,COLUMN(#REF!))</f>
        <v>#REF!</v>
      </c>
      <c r="E93" s="587" t="e">
        <f>VLOOKUP(L93,#REF!,COLUMN(#REF!))</f>
        <v>#REF!</v>
      </c>
      <c r="F93" s="596"/>
      <c r="G93" s="597"/>
      <c r="H93" s="597"/>
      <c r="I93" s="590" t="e">
        <f>IF(ISNA(MATCH(K93,#REF!,0)),"нет такого кода",INDEX(#REF!,MATCH(K93,#REF!,0)))</f>
        <v>#REF!</v>
      </c>
      <c r="J93" s="598"/>
      <c r="K93" s="579" t="e">
        <f>IF(ISNA(MATCH(L93,#REF!,0)),"нет такого кода",INDEX(#REF!,MATCH(L93,#REF!,0)))</f>
        <v>#REF!</v>
      </c>
      <c r="L93" s="592">
        <v>148</v>
      </c>
      <c r="M93" s="602" t="e">
        <f>VLOOKUP(L93,#REF!,COLUMN(#REF!))</f>
        <v>#REF!</v>
      </c>
    </row>
    <row r="94" spans="1:13">
      <c r="A94" s="587"/>
      <c r="B94" s="593" t="s">
        <v>628</v>
      </c>
      <c r="C94" s="575"/>
      <c r="D94" s="587" t="e">
        <f>VLOOKUP(L94,#REF!,COLUMN(#REF!))</f>
        <v>#REF!</v>
      </c>
      <c r="E94" s="587" t="e">
        <f>VLOOKUP(L94,#REF!,COLUMN(#REF!))</f>
        <v>#REF!</v>
      </c>
      <c r="F94" s="596"/>
      <c r="G94" s="597"/>
      <c r="H94" s="597"/>
      <c r="I94" s="590" t="e">
        <f>IF(ISNA(MATCH(K94,#REF!,0)),"нет такого кода",INDEX(#REF!,MATCH(K94,#REF!,0)))</f>
        <v>#REF!</v>
      </c>
      <c r="J94" s="598"/>
      <c r="K94" s="579" t="e">
        <f>IF(ISNA(MATCH(L94,#REF!,0)),"нет такого кода",INDEX(#REF!,MATCH(L94,#REF!,0)))</f>
        <v>#REF!</v>
      </c>
      <c r="L94" s="592">
        <v>151</v>
      </c>
      <c r="M94" s="602" t="e">
        <f>VLOOKUP(L94,#REF!,COLUMN(#REF!))</f>
        <v>#REF!</v>
      </c>
    </row>
    <row r="95" spans="1:13" ht="15.75">
      <c r="A95" s="801" t="s">
        <v>572</v>
      </c>
      <c r="B95" s="801"/>
      <c r="C95" s="801"/>
      <c r="D95" s="801"/>
      <c r="E95" s="801"/>
      <c r="F95" s="801"/>
      <c r="G95" s="801"/>
      <c r="H95" s="801"/>
      <c r="I95" s="801"/>
      <c r="J95" s="801"/>
      <c r="K95" s="801"/>
      <c r="L95" s="801"/>
      <c r="M95" s="602" t="s">
        <v>715</v>
      </c>
    </row>
    <row r="96" spans="1:13">
      <c r="A96" s="587"/>
      <c r="B96" s="593" t="s">
        <v>542</v>
      </c>
      <c r="C96" s="575"/>
      <c r="D96" s="587" t="e">
        <f>VLOOKUP(L96,#REF!,COLUMN(#REF!))</f>
        <v>#REF!</v>
      </c>
      <c r="E96" s="587" t="e">
        <f>VLOOKUP(L96,#REF!,COLUMN(#REF!))</f>
        <v>#REF!</v>
      </c>
      <c r="F96" s="596"/>
      <c r="G96" s="597"/>
      <c r="H96" s="597"/>
      <c r="I96" s="590" t="e">
        <f>IF(ISNA(MATCH(K96,#REF!,0)),"нет такого кода",INDEX(#REF!,MATCH(K96,#REF!,0)))</f>
        <v>#REF!</v>
      </c>
      <c r="J96" s="598"/>
      <c r="K96" s="579" t="e">
        <f>IF(ISNA(MATCH(L96,#REF!,0)),"нет такого кода",INDEX(#REF!,MATCH(L96,#REF!,0)))</f>
        <v>#REF!</v>
      </c>
      <c r="L96" s="592">
        <v>154</v>
      </c>
      <c r="M96" s="602" t="e">
        <f>VLOOKUP(L96,#REF!,COLUMN(#REF!))</f>
        <v>#REF!</v>
      </c>
    </row>
    <row r="97" spans="1:13">
      <c r="A97" s="587"/>
      <c r="B97" s="593" t="s">
        <v>543</v>
      </c>
      <c r="C97" s="575"/>
      <c r="D97" s="587" t="e">
        <f>VLOOKUP(L97,#REF!,COLUMN(#REF!))</f>
        <v>#REF!</v>
      </c>
      <c r="E97" s="587" t="e">
        <f>VLOOKUP(L97,#REF!,COLUMN(#REF!))</f>
        <v>#REF!</v>
      </c>
      <c r="F97" s="596"/>
      <c r="G97" s="597"/>
      <c r="H97" s="597"/>
      <c r="I97" s="590" t="e">
        <f>IF(ISNA(MATCH(K97,#REF!,0)),"нет такого кода",INDEX(#REF!,MATCH(K97,#REF!,0)))</f>
        <v>#REF!</v>
      </c>
      <c r="J97" s="598"/>
      <c r="K97" s="579" t="e">
        <f>IF(ISNA(MATCH(L97,#REF!,0)),"нет такого кода",INDEX(#REF!,MATCH(L97,#REF!,0)))</f>
        <v>#REF!</v>
      </c>
      <c r="L97" s="592">
        <v>155</v>
      </c>
      <c r="M97" s="602" t="e">
        <f>VLOOKUP(L97,#REF!,COLUMN(#REF!))</f>
        <v>#REF!</v>
      </c>
    </row>
    <row r="98" spans="1:13">
      <c r="A98" s="587"/>
      <c r="B98" s="593" t="s">
        <v>544</v>
      </c>
      <c r="C98" s="575"/>
      <c r="D98" s="587" t="e">
        <f>VLOOKUP(L98,#REF!,COLUMN(#REF!))</f>
        <v>#REF!</v>
      </c>
      <c r="E98" s="587" t="e">
        <f>VLOOKUP(L98,#REF!,COLUMN(#REF!))</f>
        <v>#REF!</v>
      </c>
      <c r="F98" s="596"/>
      <c r="G98" s="597"/>
      <c r="H98" s="597"/>
      <c r="I98" s="590" t="e">
        <f>IF(ISNA(MATCH(K98,#REF!,0)),"нет такого кода",INDEX(#REF!,MATCH(K98,#REF!,0)))</f>
        <v>#REF!</v>
      </c>
      <c r="J98" s="598"/>
      <c r="K98" s="579" t="e">
        <f>IF(ISNA(MATCH(L98,#REF!,0)),"нет такого кода",INDEX(#REF!,MATCH(L98,#REF!,0)))</f>
        <v>#REF!</v>
      </c>
      <c r="L98" s="592">
        <v>156</v>
      </c>
      <c r="M98" s="602" t="e">
        <f>VLOOKUP(L98,#REF!,COLUMN(#REF!))</f>
        <v>#REF!</v>
      </c>
    </row>
    <row r="99" spans="1:13">
      <c r="A99" s="587"/>
      <c r="B99" s="593" t="s">
        <v>545</v>
      </c>
      <c r="C99" s="575"/>
      <c r="D99" s="587" t="e">
        <f>VLOOKUP(L99,#REF!,COLUMN(#REF!))</f>
        <v>#REF!</v>
      </c>
      <c r="E99" s="587" t="e">
        <f>VLOOKUP(L99,#REF!,COLUMN(#REF!))</f>
        <v>#REF!</v>
      </c>
      <c r="F99" s="596"/>
      <c r="G99" s="597"/>
      <c r="H99" s="597"/>
      <c r="I99" s="590" t="e">
        <f>IF(ISNA(MATCH(K99,#REF!,0)),"нет такого кода",INDEX(#REF!,MATCH(K99,#REF!,0)))</f>
        <v>#REF!</v>
      </c>
      <c r="J99" s="598"/>
      <c r="K99" s="579" t="e">
        <f>IF(ISNA(MATCH(L99,#REF!,0)),"нет такого кода",INDEX(#REF!,MATCH(L99,#REF!,0)))</f>
        <v>#REF!</v>
      </c>
      <c r="L99" s="592">
        <v>160</v>
      </c>
      <c r="M99" s="602" t="e">
        <f>VLOOKUP(L99,#REF!,COLUMN(#REF!))</f>
        <v>#REF!</v>
      </c>
    </row>
    <row r="100" spans="1:13">
      <c r="A100" s="587"/>
      <c r="B100" s="593" t="s">
        <v>546</v>
      </c>
      <c r="C100" s="575"/>
      <c r="D100" s="587" t="e">
        <f>VLOOKUP(L100,#REF!,COLUMN(#REF!))</f>
        <v>#REF!</v>
      </c>
      <c r="E100" s="587" t="e">
        <f>VLOOKUP(L100,#REF!,COLUMN(#REF!))</f>
        <v>#REF!</v>
      </c>
      <c r="F100" s="596"/>
      <c r="G100" s="597"/>
      <c r="H100" s="597"/>
      <c r="I100" s="590" t="e">
        <f>IF(ISNA(MATCH(K100,#REF!,0)),"нет такого кода",INDEX(#REF!,MATCH(K100,#REF!,0)))</f>
        <v>#REF!</v>
      </c>
      <c r="J100" s="598"/>
      <c r="K100" s="579" t="e">
        <f>IF(ISNA(MATCH(L100,#REF!,0)),"нет такого кода",INDEX(#REF!,MATCH(L100,#REF!,0)))</f>
        <v>#REF!</v>
      </c>
      <c r="L100" s="592">
        <v>163</v>
      </c>
      <c r="M100" s="602" t="e">
        <f>VLOOKUP(L100,#REF!,COLUMN(#REF!))</f>
        <v>#REF!</v>
      </c>
    </row>
    <row r="101" spans="1:13" ht="24">
      <c r="A101" s="587"/>
      <c r="B101" s="593" t="s">
        <v>629</v>
      </c>
      <c r="C101" s="575"/>
      <c r="D101" s="587" t="e">
        <f>VLOOKUP(L101,#REF!,COLUMN(#REF!))</f>
        <v>#REF!</v>
      </c>
      <c r="E101" s="587" t="e">
        <f>VLOOKUP(L101,#REF!,COLUMN(#REF!))</f>
        <v>#REF!</v>
      </c>
      <c r="F101" s="596"/>
      <c r="G101" s="597"/>
      <c r="H101" s="597"/>
      <c r="I101" s="590" t="e">
        <f>IF(ISNA(MATCH(K101,#REF!,0)),"нет такого кода",INDEX(#REF!,MATCH(K101,#REF!,0)))</f>
        <v>#REF!</v>
      </c>
      <c r="J101" s="598"/>
      <c r="K101" s="579" t="e">
        <f>IF(ISNA(MATCH(L101,#REF!,0)),"нет такого кода",INDEX(#REF!,MATCH(L101,#REF!,0)))</f>
        <v>#REF!</v>
      </c>
      <c r="L101" s="592">
        <v>164</v>
      </c>
      <c r="M101" s="602" t="e">
        <f>VLOOKUP(L101,#REF!,COLUMN(#REF!))</f>
        <v>#REF!</v>
      </c>
    </row>
    <row r="102" spans="1:13">
      <c r="A102" s="587"/>
      <c r="B102" s="593" t="s">
        <v>547</v>
      </c>
      <c r="C102" s="575"/>
      <c r="D102" s="587" t="e">
        <f>VLOOKUP(L102,#REF!,COLUMN(#REF!))</f>
        <v>#REF!</v>
      </c>
      <c r="E102" s="587" t="e">
        <f>VLOOKUP(L102,#REF!,COLUMN(#REF!))</f>
        <v>#REF!</v>
      </c>
      <c r="F102" s="596"/>
      <c r="G102" s="597"/>
      <c r="H102" s="597"/>
      <c r="I102" s="590" t="e">
        <f>IF(ISNA(MATCH(K102,#REF!,0)),"нет такого кода",INDEX(#REF!,MATCH(K102,#REF!,0)))</f>
        <v>#REF!</v>
      </c>
      <c r="J102" s="598"/>
      <c r="K102" s="579" t="e">
        <f>IF(ISNA(MATCH(L102,#REF!,0)),"нет такого кода",INDEX(#REF!,MATCH(L102,#REF!,0)))</f>
        <v>#REF!</v>
      </c>
      <c r="L102" s="592">
        <v>165</v>
      </c>
      <c r="M102" s="602" t="e">
        <f>VLOOKUP(L102,#REF!,COLUMN(#REF!))</f>
        <v>#REF!</v>
      </c>
    </row>
    <row r="103" spans="1:13">
      <c r="A103" s="587"/>
      <c r="B103" s="593" t="s">
        <v>548</v>
      </c>
      <c r="C103" s="575"/>
      <c r="D103" s="587" t="e">
        <f>VLOOKUP(L103,#REF!,COLUMN(#REF!))</f>
        <v>#REF!</v>
      </c>
      <c r="E103" s="587" t="e">
        <f>VLOOKUP(L103,#REF!,COLUMN(#REF!))</f>
        <v>#REF!</v>
      </c>
      <c r="F103" s="596"/>
      <c r="G103" s="597"/>
      <c r="H103" s="597"/>
      <c r="I103" s="590" t="e">
        <f>IF(ISNA(MATCH(K103,#REF!,0)),"нет такого кода",INDEX(#REF!,MATCH(K103,#REF!,0)))</f>
        <v>#REF!</v>
      </c>
      <c r="J103" s="598"/>
      <c r="K103" s="579" t="e">
        <f>IF(ISNA(MATCH(L103,#REF!,0)),"нет такого кода",INDEX(#REF!,MATCH(L103,#REF!,0)))</f>
        <v>#REF!</v>
      </c>
      <c r="L103" s="592">
        <v>167</v>
      </c>
      <c r="M103" s="602" t="e">
        <f>VLOOKUP(L103,#REF!,COLUMN(#REF!))</f>
        <v>#REF!</v>
      </c>
    </row>
    <row r="104" spans="1:13">
      <c r="A104" s="587"/>
      <c r="B104" s="593" t="s">
        <v>549</v>
      </c>
      <c r="C104" s="575"/>
      <c r="D104" s="587" t="e">
        <f>VLOOKUP(L104,#REF!,COLUMN(#REF!))</f>
        <v>#REF!</v>
      </c>
      <c r="E104" s="587" t="e">
        <f>VLOOKUP(L104,#REF!,COLUMN(#REF!))</f>
        <v>#REF!</v>
      </c>
      <c r="F104" s="596"/>
      <c r="G104" s="597"/>
      <c r="H104" s="597"/>
      <c r="I104" s="590" t="e">
        <f>IF(ISNA(MATCH(K104,#REF!,0)),"нет такого кода",INDEX(#REF!,MATCH(K104,#REF!,0)))</f>
        <v>#REF!</v>
      </c>
      <c r="J104" s="598"/>
      <c r="K104" s="579" t="e">
        <f>IF(ISNA(MATCH(L104,#REF!,0)),"нет такого кода",INDEX(#REF!,MATCH(L104,#REF!,0)))</f>
        <v>#REF!</v>
      </c>
      <c r="L104" s="592">
        <v>169</v>
      </c>
      <c r="M104" s="602" t="e">
        <f>VLOOKUP(L104,#REF!,COLUMN(#REF!))</f>
        <v>#REF!</v>
      </c>
    </row>
    <row r="105" spans="1:13" ht="24">
      <c r="A105" s="587"/>
      <c r="B105" s="593" t="s">
        <v>631</v>
      </c>
      <c r="C105" s="587" t="e">
        <f>VLOOKUP(L105,#REF!,COLUMN(#REF!))</f>
        <v>#REF!</v>
      </c>
      <c r="D105" s="587" t="e">
        <f>VLOOKUP(L105,#REF!,COLUMN(#REF!))</f>
        <v>#REF!</v>
      </c>
      <c r="E105" s="587" t="e">
        <f>VLOOKUP(L105,#REF!,COLUMN(#REF!))</f>
        <v>#REF!</v>
      </c>
      <c r="F105" s="596"/>
      <c r="G105" s="597"/>
      <c r="H105" s="597"/>
      <c r="I105" s="590" t="e">
        <f>IF(ISNA(MATCH(K105,#REF!,0)),"нет такого кода",INDEX(#REF!,MATCH(K105,#REF!,0)))</f>
        <v>#REF!</v>
      </c>
      <c r="J105" s="598"/>
      <c r="K105" s="579" t="e">
        <f>IF(ISNA(MATCH(L105,#REF!,0)),"нет такого кода",INDEX(#REF!,MATCH(L105,#REF!,0)))</f>
        <v>#REF!</v>
      </c>
      <c r="L105" s="592">
        <v>170</v>
      </c>
      <c r="M105" s="602" t="e">
        <f>VLOOKUP(L105,#REF!,COLUMN(#REF!))</f>
        <v>#REF!</v>
      </c>
    </row>
    <row r="106" spans="1:13">
      <c r="A106" s="587"/>
      <c r="B106" s="575"/>
      <c r="C106" s="587" t="e">
        <f>VLOOKUP(L106,#REF!,COLUMN(#REF!))</f>
        <v>#REF!</v>
      </c>
      <c r="D106" s="587" t="e">
        <f>VLOOKUP(L106,#REF!,COLUMN(#REF!))</f>
        <v>#REF!</v>
      </c>
      <c r="E106" s="587" t="e">
        <f>VLOOKUP(L106,#REF!,COLUMN(#REF!))</f>
        <v>#REF!</v>
      </c>
      <c r="F106" s="596"/>
      <c r="G106" s="597"/>
      <c r="H106" s="597"/>
      <c r="I106" s="590" t="e">
        <f>IF(ISNA(MATCH(K106,#REF!,0)),"нет такого кода",INDEX(#REF!,MATCH(K106,#REF!,0)))</f>
        <v>#REF!</v>
      </c>
      <c r="J106" s="598"/>
      <c r="K106" s="579" t="e">
        <f>IF(ISNA(MATCH(L106,#REF!,0)),"нет такого кода",INDEX(#REF!,MATCH(L106,#REF!,0)))</f>
        <v>#REF!</v>
      </c>
      <c r="L106" s="592">
        <v>171</v>
      </c>
      <c r="M106" s="602" t="e">
        <f>VLOOKUP(L106,#REF!,COLUMN(#REF!))</f>
        <v>#REF!</v>
      </c>
    </row>
    <row r="107" spans="1:13">
      <c r="A107" s="587"/>
      <c r="B107" s="575"/>
      <c r="C107" s="587" t="e">
        <f>VLOOKUP(L107,#REF!,COLUMN(#REF!))</f>
        <v>#REF!</v>
      </c>
      <c r="D107" s="587" t="e">
        <f>VLOOKUP(L107,#REF!,COLUMN(#REF!))</f>
        <v>#REF!</v>
      </c>
      <c r="E107" s="587" t="e">
        <f>VLOOKUP(L107,#REF!,COLUMN(#REF!))</f>
        <v>#REF!</v>
      </c>
      <c r="F107" s="596"/>
      <c r="G107" s="597"/>
      <c r="H107" s="597"/>
      <c r="I107" s="590" t="e">
        <f>IF(ISNA(MATCH(K107,#REF!,0)),"нет такого кода",INDEX(#REF!,MATCH(K107,#REF!,0)))</f>
        <v>#REF!</v>
      </c>
      <c r="J107" s="598"/>
      <c r="K107" s="579" t="e">
        <f>IF(ISNA(MATCH(L107,#REF!,0)),"нет такого кода",INDEX(#REF!,MATCH(L107,#REF!,0)))</f>
        <v>#REF!</v>
      </c>
      <c r="L107" s="592">
        <v>172</v>
      </c>
      <c r="M107" s="602" t="e">
        <f>VLOOKUP(L107,#REF!,COLUMN(#REF!))</f>
        <v>#REF!</v>
      </c>
    </row>
    <row r="108" spans="1:13" ht="24">
      <c r="A108" s="587"/>
      <c r="B108" s="593" t="s">
        <v>630</v>
      </c>
      <c r="C108" s="587" t="e">
        <f>VLOOKUP(L108,#REF!,COLUMN(#REF!))</f>
        <v>#REF!</v>
      </c>
      <c r="D108" s="587" t="e">
        <f>VLOOKUP(L108,#REF!,COLUMN(#REF!))</f>
        <v>#REF!</v>
      </c>
      <c r="E108" s="587" t="e">
        <f>VLOOKUP(L108,#REF!,COLUMN(#REF!))</f>
        <v>#REF!</v>
      </c>
      <c r="F108" s="596"/>
      <c r="G108" s="597"/>
      <c r="H108" s="597"/>
      <c r="I108" s="590" t="e">
        <f>IF(ISNA(MATCH(K108,#REF!,0)),"нет такого кода",INDEX(#REF!,MATCH(K108,#REF!,0)))</f>
        <v>#REF!</v>
      </c>
      <c r="J108" s="598"/>
      <c r="K108" s="579" t="e">
        <f>IF(ISNA(MATCH(L108,#REF!,0)),"нет такого кода",INDEX(#REF!,MATCH(L108,#REF!,0)))</f>
        <v>#REF!</v>
      </c>
      <c r="L108" s="592">
        <v>173</v>
      </c>
      <c r="M108" s="602" t="e">
        <f>VLOOKUP(L108,#REF!,COLUMN(#REF!))</f>
        <v>#REF!</v>
      </c>
    </row>
    <row r="109" spans="1:13">
      <c r="A109" s="587"/>
      <c r="B109" s="575"/>
      <c r="C109" s="587" t="e">
        <f>VLOOKUP(L109,#REF!,COLUMN(#REF!))</f>
        <v>#REF!</v>
      </c>
      <c r="D109" s="587" t="e">
        <f>VLOOKUP(L109,#REF!,COLUMN(#REF!))</f>
        <v>#REF!</v>
      </c>
      <c r="E109" s="587" t="e">
        <f>VLOOKUP(L109,#REF!,COLUMN(#REF!))</f>
        <v>#REF!</v>
      </c>
      <c r="F109" s="596"/>
      <c r="G109" s="597"/>
      <c r="H109" s="597"/>
      <c r="I109" s="590" t="e">
        <f>IF(ISNA(MATCH(K109,#REF!,0)),"нет такого кода",INDEX(#REF!,MATCH(K109,#REF!,0)))</f>
        <v>#REF!</v>
      </c>
      <c r="J109" s="598"/>
      <c r="K109" s="579" t="e">
        <f>IF(ISNA(MATCH(L109,#REF!,0)),"нет такого кода",INDEX(#REF!,MATCH(L109,#REF!,0)))</f>
        <v>#REF!</v>
      </c>
      <c r="L109" s="592">
        <v>174</v>
      </c>
      <c r="M109" s="602" t="e">
        <f>VLOOKUP(L109,#REF!,COLUMN(#REF!))</f>
        <v>#REF!</v>
      </c>
    </row>
    <row r="110" spans="1:13">
      <c r="A110" s="587"/>
      <c r="B110" s="575"/>
      <c r="C110" s="587" t="e">
        <f>VLOOKUP(L110,#REF!,COLUMN(#REF!))</f>
        <v>#REF!</v>
      </c>
      <c r="D110" s="587" t="e">
        <f>VLOOKUP(L110,#REF!,COLUMN(#REF!))</f>
        <v>#REF!</v>
      </c>
      <c r="E110" s="587" t="e">
        <f>VLOOKUP(L110,#REF!,COLUMN(#REF!))</f>
        <v>#REF!</v>
      </c>
      <c r="F110" s="596"/>
      <c r="G110" s="597"/>
      <c r="H110" s="597"/>
      <c r="I110" s="590" t="e">
        <f>IF(ISNA(MATCH(K110,#REF!,0)),"нет такого кода",INDEX(#REF!,MATCH(K110,#REF!,0)))</f>
        <v>#REF!</v>
      </c>
      <c r="J110" s="598"/>
      <c r="K110" s="579" t="e">
        <f>IF(ISNA(MATCH(L110,#REF!,0)),"нет такого кода",INDEX(#REF!,MATCH(L110,#REF!,0)))</f>
        <v>#REF!</v>
      </c>
      <c r="L110" s="592">
        <v>175</v>
      </c>
      <c r="M110" s="602" t="e">
        <f>VLOOKUP(L110,#REF!,COLUMN(#REF!))</f>
        <v>#REF!</v>
      </c>
    </row>
    <row r="111" spans="1:13" ht="24">
      <c r="A111" s="587"/>
      <c r="B111" s="593" t="s">
        <v>632</v>
      </c>
      <c r="C111" s="587" t="e">
        <f>VLOOKUP(L111,#REF!,COLUMN(#REF!))</f>
        <v>#REF!</v>
      </c>
      <c r="D111" s="587" t="e">
        <f>VLOOKUP(L111,#REF!,COLUMN(#REF!))</f>
        <v>#REF!</v>
      </c>
      <c r="E111" s="587" t="e">
        <f>VLOOKUP(L111,#REF!,COLUMN(#REF!))</f>
        <v>#REF!</v>
      </c>
      <c r="F111" s="596"/>
      <c r="G111" s="597"/>
      <c r="H111" s="597"/>
      <c r="I111" s="590" t="e">
        <f>IF(ISNA(MATCH(K111,#REF!,0)),"нет такого кода",INDEX(#REF!,MATCH(K111,#REF!,0)))</f>
        <v>#REF!</v>
      </c>
      <c r="J111" s="598"/>
      <c r="K111" s="579" t="e">
        <f>IF(ISNA(MATCH(L111,#REF!,0)),"нет такого кода",INDEX(#REF!,MATCH(L111,#REF!,0)))</f>
        <v>#REF!</v>
      </c>
      <c r="L111" s="592">
        <v>176</v>
      </c>
      <c r="M111" s="602" t="e">
        <f>VLOOKUP(L111,#REF!,COLUMN(#REF!))</f>
        <v>#REF!</v>
      </c>
    </row>
    <row r="112" spans="1:13">
      <c r="A112" s="587"/>
      <c r="B112" s="575"/>
      <c r="C112" s="587" t="e">
        <f>VLOOKUP(L112,#REF!,COLUMN(#REF!))</f>
        <v>#REF!</v>
      </c>
      <c r="D112" s="587" t="e">
        <f>VLOOKUP(L112,#REF!,COLUMN(#REF!))</f>
        <v>#REF!</v>
      </c>
      <c r="E112" s="587" t="e">
        <f>VLOOKUP(L112,#REF!,COLUMN(#REF!))</f>
        <v>#REF!</v>
      </c>
      <c r="F112" s="596"/>
      <c r="G112" s="597"/>
      <c r="H112" s="597"/>
      <c r="I112" s="590" t="e">
        <f>IF(ISNA(MATCH(K112,#REF!,0)),"нет такого кода",INDEX(#REF!,MATCH(K112,#REF!,0)))</f>
        <v>#REF!</v>
      </c>
      <c r="J112" s="598"/>
      <c r="K112" s="579" t="e">
        <f>IF(ISNA(MATCH(L112,#REF!,0)),"нет такого кода",INDEX(#REF!,MATCH(L112,#REF!,0)))</f>
        <v>#REF!</v>
      </c>
      <c r="L112" s="592">
        <v>177</v>
      </c>
      <c r="M112" s="602" t="e">
        <f>VLOOKUP(L112,#REF!,COLUMN(#REF!))</f>
        <v>#REF!</v>
      </c>
    </row>
    <row r="113" spans="1:13">
      <c r="A113" s="587"/>
      <c r="B113" s="575"/>
      <c r="C113" s="587" t="e">
        <f>VLOOKUP(L113,#REF!,COLUMN(#REF!))</f>
        <v>#REF!</v>
      </c>
      <c r="D113" s="587" t="e">
        <f>VLOOKUP(L113,#REF!,COLUMN(#REF!))</f>
        <v>#REF!</v>
      </c>
      <c r="E113" s="587" t="e">
        <f>VLOOKUP(L113,#REF!,COLUMN(#REF!))</f>
        <v>#REF!</v>
      </c>
      <c r="F113" s="596"/>
      <c r="G113" s="597"/>
      <c r="H113" s="597"/>
      <c r="I113" s="590" t="e">
        <f>IF(ISNA(MATCH(K113,#REF!,0)),"нет такого кода",INDEX(#REF!,MATCH(K113,#REF!,0)))</f>
        <v>#REF!</v>
      </c>
      <c r="J113" s="598"/>
      <c r="K113" s="579" t="e">
        <f>IF(ISNA(MATCH(L113,#REF!,0)),"нет такого кода",INDEX(#REF!,MATCH(L113,#REF!,0)))</f>
        <v>#REF!</v>
      </c>
      <c r="L113" s="592">
        <v>178</v>
      </c>
      <c r="M113" s="602" t="e">
        <f>VLOOKUP(L113,#REF!,COLUMN(#REF!))</f>
        <v>#REF!</v>
      </c>
    </row>
    <row r="114" spans="1:13">
      <c r="A114" s="587"/>
      <c r="B114" s="593" t="s">
        <v>550</v>
      </c>
      <c r="C114" s="575"/>
      <c r="D114" s="587" t="e">
        <f>VLOOKUP(L114,#REF!,COLUMN(#REF!))</f>
        <v>#REF!</v>
      </c>
      <c r="E114" s="587" t="e">
        <f>VLOOKUP(L114,#REF!,COLUMN(#REF!))</f>
        <v>#REF!</v>
      </c>
      <c r="F114" s="596"/>
      <c r="G114" s="597"/>
      <c r="H114" s="597"/>
      <c r="I114" s="590" t="e">
        <f>IF(ISNA(MATCH(K114,#REF!,0)),"нет такого кода",INDEX(#REF!,MATCH(K114,#REF!,0)))</f>
        <v>#REF!</v>
      </c>
      <c r="J114" s="598"/>
      <c r="K114" s="579" t="e">
        <f>IF(ISNA(MATCH(L114,#REF!,0)),"нет такого кода",INDEX(#REF!,MATCH(L114,#REF!,0)))</f>
        <v>#REF!</v>
      </c>
      <c r="L114" s="592">
        <v>179</v>
      </c>
      <c r="M114" s="602" t="e">
        <f>VLOOKUP(L114,#REF!,COLUMN(#REF!))</f>
        <v>#REF!</v>
      </c>
    </row>
    <row r="115" spans="1:13" ht="24">
      <c r="A115" s="587"/>
      <c r="B115" s="593" t="s">
        <v>633</v>
      </c>
      <c r="C115" s="575"/>
      <c r="D115" s="587" t="e">
        <f>VLOOKUP(L115,#REF!,COLUMN(#REF!))</f>
        <v>#REF!</v>
      </c>
      <c r="E115" s="587" t="e">
        <f>VLOOKUP(L115,#REF!,COLUMN(#REF!))</f>
        <v>#REF!</v>
      </c>
      <c r="F115" s="596"/>
      <c r="G115" s="597"/>
      <c r="H115" s="597"/>
      <c r="I115" s="590" t="e">
        <f>IF(ISNA(MATCH(K115,#REF!,0)),"нет такого кода",INDEX(#REF!,MATCH(K115,#REF!,0)))</f>
        <v>#REF!</v>
      </c>
      <c r="J115" s="598"/>
      <c r="K115" s="579" t="e">
        <f>IF(ISNA(MATCH(L115,#REF!,0)),"нет такого кода",INDEX(#REF!,MATCH(L115,#REF!,0)))</f>
        <v>#REF!</v>
      </c>
      <c r="L115" s="592">
        <v>181</v>
      </c>
      <c r="M115" s="602" t="e">
        <f>VLOOKUP(L115,#REF!,COLUMN(#REF!))</f>
        <v>#REF!</v>
      </c>
    </row>
    <row r="116" spans="1:13" ht="24">
      <c r="A116" s="587"/>
      <c r="B116" s="593" t="s">
        <v>634</v>
      </c>
      <c r="C116" s="575"/>
      <c r="D116" s="587" t="e">
        <f>VLOOKUP(L116,#REF!,COLUMN(#REF!))</f>
        <v>#REF!</v>
      </c>
      <c r="E116" s="587" t="e">
        <f>VLOOKUP(L116,#REF!,COLUMN(#REF!))</f>
        <v>#REF!</v>
      </c>
      <c r="F116" s="596"/>
      <c r="G116" s="597"/>
      <c r="H116" s="597"/>
      <c r="I116" s="590" t="e">
        <f>IF(ISNA(MATCH(K116,#REF!,0)),"нет такого кода",INDEX(#REF!,MATCH(K116,#REF!,0)))</f>
        <v>#REF!</v>
      </c>
      <c r="J116" s="598"/>
      <c r="K116" s="579" t="e">
        <f>IF(ISNA(MATCH(L116,#REF!,0)),"нет такого кода",INDEX(#REF!,MATCH(L116,#REF!,0)))</f>
        <v>#REF!</v>
      </c>
      <c r="L116" s="592">
        <v>185</v>
      </c>
      <c r="M116" s="602" t="e">
        <f>VLOOKUP(L116,#REF!,COLUMN(#REF!))</f>
        <v>#REF!</v>
      </c>
    </row>
    <row r="117" spans="1:13">
      <c r="A117" s="587"/>
      <c r="B117" s="593" t="s">
        <v>551</v>
      </c>
      <c r="C117" s="575"/>
      <c r="D117" s="587" t="e">
        <f>VLOOKUP(L117,#REF!,COLUMN(#REF!))</f>
        <v>#REF!</v>
      </c>
      <c r="E117" s="587" t="e">
        <f>VLOOKUP(L117,#REF!,COLUMN(#REF!))</f>
        <v>#REF!</v>
      </c>
      <c r="F117" s="596"/>
      <c r="G117" s="597"/>
      <c r="H117" s="597"/>
      <c r="I117" s="590" t="e">
        <f>IF(ISNA(MATCH(K117,#REF!,0)),"нет такого кода",INDEX(#REF!,MATCH(K117,#REF!,0)))</f>
        <v>#REF!</v>
      </c>
      <c r="J117" s="598"/>
      <c r="K117" s="579" t="e">
        <f>IF(ISNA(MATCH(L117,#REF!,0)),"нет такого кода",INDEX(#REF!,MATCH(L117,#REF!,0)))</f>
        <v>#REF!</v>
      </c>
      <c r="L117" s="592">
        <v>189</v>
      </c>
      <c r="M117" s="602" t="e">
        <f>VLOOKUP(L117,#REF!,COLUMN(#REF!))</f>
        <v>#REF!</v>
      </c>
    </row>
    <row r="118" spans="1:13" ht="24">
      <c r="A118" s="587"/>
      <c r="B118" s="593" t="s">
        <v>635</v>
      </c>
      <c r="C118" s="575"/>
      <c r="D118" s="575" t="e">
        <f>VLOOKUP(L118,#REF!,COLUMN(#REF!))</f>
        <v>#REF!</v>
      </c>
      <c r="E118" s="587" t="e">
        <f>VLOOKUP(L118,#REF!,COLUMN(#REF!))</f>
        <v>#REF!</v>
      </c>
      <c r="F118" s="596"/>
      <c r="G118" s="597"/>
      <c r="H118" s="597"/>
      <c r="I118" s="590" t="e">
        <f>IF(ISNA(MATCH(K118,#REF!,0)),"нет такого кода",INDEX(#REF!,MATCH(K118,#REF!,0)))</f>
        <v>#REF!</v>
      </c>
      <c r="J118" s="598"/>
      <c r="K118" s="579" t="e">
        <f>IF(ISNA(MATCH(L118,#REF!,0)),"нет такого кода",INDEX(#REF!,MATCH(L118,#REF!,0)))</f>
        <v>#REF!</v>
      </c>
      <c r="L118" s="592">
        <v>193</v>
      </c>
      <c r="M118" s="602" t="e">
        <f>VLOOKUP(L118,#REF!,COLUMN(#REF!))</f>
        <v>#REF!</v>
      </c>
    </row>
    <row r="119" spans="1:13" ht="24">
      <c r="A119" s="587"/>
      <c r="B119" s="593" t="s">
        <v>636</v>
      </c>
      <c r="C119" s="575"/>
      <c r="D119" s="575" t="e">
        <f>VLOOKUP(L119,#REF!,COLUMN(#REF!))</f>
        <v>#REF!</v>
      </c>
      <c r="E119" s="587" t="e">
        <f>VLOOKUP(L119,#REF!,COLUMN(#REF!))</f>
        <v>#REF!</v>
      </c>
      <c r="F119" s="596"/>
      <c r="G119" s="597"/>
      <c r="H119" s="597"/>
      <c r="I119" s="590" t="e">
        <f>IF(ISNA(MATCH(K119,#REF!,0)),"нет такого кода",INDEX(#REF!,MATCH(K119,#REF!,0)))</f>
        <v>#REF!</v>
      </c>
      <c r="J119" s="598"/>
      <c r="K119" s="579" t="e">
        <f>IF(ISNA(MATCH(L119,#REF!,0)),"нет такого кода",INDEX(#REF!,MATCH(L119,#REF!,0)))</f>
        <v>#REF!</v>
      </c>
      <c r="L119" s="592">
        <v>197</v>
      </c>
      <c r="M119" s="602" t="e">
        <f>VLOOKUP(L119,#REF!,COLUMN(#REF!))</f>
        <v>#REF!</v>
      </c>
    </row>
    <row r="120" spans="1:13" ht="24">
      <c r="A120" s="587"/>
      <c r="B120" s="593" t="s">
        <v>637</v>
      </c>
      <c r="C120" s="575"/>
      <c r="D120" s="575" t="e">
        <f>VLOOKUP(L120,#REF!,COLUMN(#REF!))</f>
        <v>#REF!</v>
      </c>
      <c r="E120" s="587" t="e">
        <f>VLOOKUP(L120,#REF!,COLUMN(#REF!))</f>
        <v>#REF!</v>
      </c>
      <c r="F120" s="596"/>
      <c r="G120" s="597"/>
      <c r="H120" s="597"/>
      <c r="I120" s="590" t="e">
        <f>IF(ISNA(MATCH(K120,#REF!,0)),"нет такого кода",INDEX(#REF!,MATCH(K120,#REF!,0)))</f>
        <v>#REF!</v>
      </c>
      <c r="J120" s="598"/>
      <c r="K120" s="579" t="e">
        <f>IF(ISNA(MATCH(L120,#REF!,0)),"нет такого кода",INDEX(#REF!,MATCH(L120,#REF!,0)))</f>
        <v>#REF!</v>
      </c>
      <c r="L120" s="592">
        <v>201</v>
      </c>
      <c r="M120" s="602" t="e">
        <f>VLOOKUP(L120,#REF!,COLUMN(#REF!))</f>
        <v>#REF!</v>
      </c>
    </row>
    <row r="121" spans="1:13" ht="24">
      <c r="A121" s="587"/>
      <c r="B121" s="593" t="s">
        <v>638</v>
      </c>
      <c r="C121" s="575"/>
      <c r="D121" s="575" t="e">
        <f>VLOOKUP(L121,#REF!,COLUMN(#REF!))</f>
        <v>#REF!</v>
      </c>
      <c r="E121" s="587" t="e">
        <f>VLOOKUP(L121,#REF!,COLUMN(#REF!))</f>
        <v>#REF!</v>
      </c>
      <c r="F121" s="596"/>
      <c r="G121" s="597"/>
      <c r="H121" s="597"/>
      <c r="I121" s="590" t="e">
        <f>IF(ISNA(MATCH(K121,#REF!,0)),"нет такого кода",INDEX(#REF!,MATCH(K121,#REF!,0)))</f>
        <v>#REF!</v>
      </c>
      <c r="J121" s="598"/>
      <c r="K121" s="579" t="e">
        <f>IF(ISNA(MATCH(L121,#REF!,0)),"нет такого кода",INDEX(#REF!,MATCH(L121,#REF!,0)))</f>
        <v>#REF!</v>
      </c>
      <c r="L121" s="592">
        <v>205</v>
      </c>
      <c r="M121" s="602" t="e">
        <f>VLOOKUP(L121,#REF!,COLUMN(#REF!))</f>
        <v>#REF!</v>
      </c>
    </row>
    <row r="122" spans="1:13">
      <c r="A122" s="587"/>
      <c r="B122" s="593" t="s">
        <v>639</v>
      </c>
      <c r="C122" s="575"/>
      <c r="D122" s="575" t="e">
        <f>VLOOKUP(L122,#REF!,COLUMN(#REF!))</f>
        <v>#REF!</v>
      </c>
      <c r="E122" s="587" t="e">
        <f>VLOOKUP(L122,#REF!,COLUMN(#REF!))</f>
        <v>#REF!</v>
      </c>
      <c r="F122" s="596"/>
      <c r="G122" s="597"/>
      <c r="H122" s="597"/>
      <c r="I122" s="590" t="e">
        <f>IF(ISNA(MATCH(K122,#REF!,0)),"нет такого кода",INDEX(#REF!,MATCH(K122,#REF!,0)))</f>
        <v>#REF!</v>
      </c>
      <c r="J122" s="598"/>
      <c r="K122" s="579" t="e">
        <f>IF(ISNA(MATCH(L122,#REF!,0)),"нет такого кода",INDEX(#REF!,MATCH(L122,#REF!,0)))</f>
        <v>#REF!</v>
      </c>
      <c r="L122" s="592">
        <v>209</v>
      </c>
      <c r="M122" s="602" t="e">
        <f>VLOOKUP(L122,#REF!,COLUMN(#REF!))</f>
        <v>#REF!</v>
      </c>
    </row>
    <row r="123" spans="1:13">
      <c r="A123" s="587"/>
      <c r="B123" s="593" t="s">
        <v>640</v>
      </c>
      <c r="C123" s="575"/>
      <c r="D123" s="575" t="e">
        <f>VLOOKUP(L123,#REF!,COLUMN(#REF!))</f>
        <v>#REF!</v>
      </c>
      <c r="E123" s="587" t="e">
        <f>VLOOKUP(L123,#REF!,COLUMN(#REF!))</f>
        <v>#REF!</v>
      </c>
      <c r="F123" s="596"/>
      <c r="G123" s="597"/>
      <c r="H123" s="597"/>
      <c r="I123" s="590" t="e">
        <f>IF(ISNA(MATCH(K123,#REF!,0)),"нет такого кода",INDEX(#REF!,MATCH(K123,#REF!,0)))</f>
        <v>#REF!</v>
      </c>
      <c r="J123" s="598"/>
      <c r="K123" s="579" t="e">
        <f>IF(ISNA(MATCH(L123,#REF!,0)),"нет такого кода",INDEX(#REF!,MATCH(L123,#REF!,0)))</f>
        <v>#REF!</v>
      </c>
      <c r="L123" s="592">
        <v>213</v>
      </c>
      <c r="M123" s="602" t="e">
        <f>VLOOKUP(L123,#REF!,COLUMN(#REF!))</f>
        <v>#REF!</v>
      </c>
    </row>
    <row r="124" spans="1:13">
      <c r="A124" s="587"/>
      <c r="B124" s="593" t="s">
        <v>640</v>
      </c>
      <c r="C124" s="575"/>
      <c r="D124" s="575" t="e">
        <f>VLOOKUP(L124,#REF!,COLUMN(#REF!))</f>
        <v>#REF!</v>
      </c>
      <c r="E124" s="587" t="e">
        <f>VLOOKUP(L124,#REF!,COLUMN(#REF!))</f>
        <v>#REF!</v>
      </c>
      <c r="F124" s="596"/>
      <c r="G124" s="597"/>
      <c r="H124" s="597"/>
      <c r="I124" s="590" t="e">
        <f>IF(ISNA(MATCH(K124,#REF!,0)),"нет такого кода",INDEX(#REF!,MATCH(K124,#REF!,0)))</f>
        <v>#REF!</v>
      </c>
      <c r="J124" s="598"/>
      <c r="K124" s="579" t="e">
        <f>IF(ISNA(MATCH(L124,#REF!,0)),"нет такого кода",INDEX(#REF!,MATCH(L124,#REF!,0)))</f>
        <v>#REF!</v>
      </c>
      <c r="L124" s="592">
        <v>217</v>
      </c>
      <c r="M124" s="602" t="e">
        <f>VLOOKUP(L124,#REF!,COLUMN(#REF!))</f>
        <v>#REF!</v>
      </c>
    </row>
    <row r="125" spans="1:13" ht="24">
      <c r="A125" s="587"/>
      <c r="B125" s="593" t="s">
        <v>641</v>
      </c>
      <c r="C125" s="575"/>
      <c r="D125" s="575" t="e">
        <f>VLOOKUP(L125,#REF!,COLUMN(#REF!))</f>
        <v>#REF!</v>
      </c>
      <c r="E125" s="587" t="e">
        <f>VLOOKUP(L125,#REF!,COLUMN(#REF!))</f>
        <v>#REF!</v>
      </c>
      <c r="F125" s="596"/>
      <c r="G125" s="597"/>
      <c r="H125" s="597"/>
      <c r="I125" s="590" t="e">
        <f>IF(ISNA(MATCH(K125,#REF!,0)),"нет такого кода",INDEX(#REF!,MATCH(K125,#REF!,0)))</f>
        <v>#REF!</v>
      </c>
      <c r="J125" s="598"/>
      <c r="K125" s="579" t="e">
        <f>IF(ISNA(MATCH(L125,#REF!,0)),"нет такого кода",INDEX(#REF!,MATCH(L125,#REF!,0)))</f>
        <v>#REF!</v>
      </c>
      <c r="L125" s="592">
        <v>222</v>
      </c>
      <c r="M125" s="602" t="e">
        <f>VLOOKUP(L125,#REF!,COLUMN(#REF!))</f>
        <v>#REF!</v>
      </c>
    </row>
    <row r="126" spans="1:13" ht="24">
      <c r="A126" s="587"/>
      <c r="B126" s="593" t="s">
        <v>642</v>
      </c>
      <c r="C126" s="575"/>
      <c r="D126" s="575" t="e">
        <f>VLOOKUP(L126,#REF!,COLUMN(#REF!))</f>
        <v>#REF!</v>
      </c>
      <c r="E126" s="587" t="e">
        <f>VLOOKUP(L126,#REF!,COLUMN(#REF!))</f>
        <v>#REF!</v>
      </c>
      <c r="F126" s="596"/>
      <c r="G126" s="597"/>
      <c r="H126" s="597"/>
      <c r="I126" s="590" t="e">
        <f>IF(ISNA(MATCH(K126,#REF!,0)),"нет такого кода",INDEX(#REF!,MATCH(K126,#REF!,0)))</f>
        <v>#REF!</v>
      </c>
      <c r="J126" s="598"/>
      <c r="K126" s="579" t="e">
        <f>IF(ISNA(MATCH(L126,#REF!,0)),"нет такого кода",INDEX(#REF!,MATCH(L126,#REF!,0)))</f>
        <v>#REF!</v>
      </c>
      <c r="L126" s="592">
        <v>225</v>
      </c>
      <c r="M126" s="602" t="e">
        <f>VLOOKUP(L126,#REF!,COLUMN(#REF!))</f>
        <v>#REF!</v>
      </c>
    </row>
    <row r="127" spans="1:13" ht="24">
      <c r="A127" s="587"/>
      <c r="B127" s="593" t="s">
        <v>643</v>
      </c>
      <c r="C127" s="575"/>
      <c r="D127" s="575" t="e">
        <f>VLOOKUP(L127,#REF!,COLUMN(#REF!))</f>
        <v>#REF!</v>
      </c>
      <c r="E127" s="587" t="e">
        <f>VLOOKUP(L127,#REF!,COLUMN(#REF!))</f>
        <v>#REF!</v>
      </c>
      <c r="F127" s="596"/>
      <c r="G127" s="597"/>
      <c r="H127" s="597"/>
      <c r="I127" s="590" t="e">
        <f>IF(ISNA(MATCH(K127,#REF!,0)),"нет такого кода",INDEX(#REF!,MATCH(K127,#REF!,0)))</f>
        <v>#REF!</v>
      </c>
      <c r="J127" s="598"/>
      <c r="K127" s="579" t="e">
        <f>IF(ISNA(MATCH(L127,#REF!,0)),"нет такого кода",INDEX(#REF!,MATCH(L127,#REF!,0)))</f>
        <v>#REF!</v>
      </c>
      <c r="L127" s="592">
        <v>228</v>
      </c>
      <c r="M127" s="602" t="e">
        <f>VLOOKUP(L127,#REF!,COLUMN(#REF!))</f>
        <v>#REF!</v>
      </c>
    </row>
    <row r="128" spans="1:13" ht="36">
      <c r="A128" s="583"/>
      <c r="B128" s="593" t="s">
        <v>644</v>
      </c>
      <c r="C128" s="570"/>
      <c r="D128" s="575" t="e">
        <f>VLOOKUP(L128,#REF!,COLUMN(#REF!))</f>
        <v>#REF!</v>
      </c>
      <c r="E128" s="587" t="e">
        <f>VLOOKUP(L128,#REF!,COLUMN(#REF!))</f>
        <v>#REF!</v>
      </c>
      <c r="F128" s="596"/>
      <c r="G128" s="597"/>
      <c r="H128" s="597"/>
      <c r="I128" s="590" t="e">
        <f>IF(ISNA(MATCH(K128,#REF!,0)),"нет такого кода",INDEX(#REF!,MATCH(K128,#REF!,0)))</f>
        <v>#REF!</v>
      </c>
      <c r="J128" s="598"/>
      <c r="K128" s="579" t="e">
        <f>IF(ISNA(MATCH(L128,#REF!,0)),"нет такого кода",INDEX(#REF!,MATCH(L128,#REF!,0)))</f>
        <v>#REF!</v>
      </c>
      <c r="L128" s="582">
        <v>231</v>
      </c>
      <c r="M128" s="602" t="e">
        <f>VLOOKUP(L128,#REF!,COLUMN(#REF!))</f>
        <v>#REF!</v>
      </c>
    </row>
    <row r="129" spans="1:13" ht="36">
      <c r="A129" s="583"/>
      <c r="B129" s="593" t="s">
        <v>645</v>
      </c>
      <c r="C129" s="570"/>
      <c r="D129" s="575" t="e">
        <f>VLOOKUP(L129,#REF!,COLUMN(#REF!))</f>
        <v>#REF!</v>
      </c>
      <c r="E129" s="587" t="e">
        <f>VLOOKUP(L129,#REF!,COLUMN(#REF!))</f>
        <v>#REF!</v>
      </c>
      <c r="F129" s="596"/>
      <c r="G129" s="597"/>
      <c r="H129" s="597"/>
      <c r="I129" s="590" t="e">
        <f>IF(ISNA(MATCH(K129,#REF!,0)),"нет такого кода",INDEX(#REF!,MATCH(K129,#REF!,0)))</f>
        <v>#REF!</v>
      </c>
      <c r="J129" s="598"/>
      <c r="K129" s="579" t="e">
        <f>IF(ISNA(MATCH(L129,#REF!,0)),"нет такого кода",INDEX(#REF!,MATCH(L129,#REF!,0)))</f>
        <v>#REF!</v>
      </c>
      <c r="L129" s="582">
        <v>234</v>
      </c>
      <c r="M129" s="602" t="e">
        <f>VLOOKUP(L129,#REF!,COLUMN(#REF!))</f>
        <v>#REF!</v>
      </c>
    </row>
    <row r="130" spans="1:13" ht="24">
      <c r="A130" s="583"/>
      <c r="B130" s="593" t="s">
        <v>646</v>
      </c>
      <c r="C130" s="570"/>
      <c r="D130" s="575" t="e">
        <f>VLOOKUP(L130,#REF!,COLUMN(#REF!))</f>
        <v>#REF!</v>
      </c>
      <c r="E130" s="587" t="e">
        <f>VLOOKUP(L130,#REF!,COLUMN(#REF!))</f>
        <v>#REF!</v>
      </c>
      <c r="F130" s="596"/>
      <c r="G130" s="597"/>
      <c r="H130" s="597"/>
      <c r="I130" s="590" t="e">
        <f>IF(ISNA(MATCH(K130,#REF!,0)),"нет такого кода",INDEX(#REF!,MATCH(K130,#REF!,0)))</f>
        <v>#REF!</v>
      </c>
      <c r="J130" s="598"/>
      <c r="K130" s="579" t="e">
        <f>IF(ISNA(MATCH(L130,#REF!,0)),"нет такого кода",INDEX(#REF!,MATCH(L130,#REF!,0)))</f>
        <v>#REF!</v>
      </c>
      <c r="L130" s="582">
        <v>238</v>
      </c>
      <c r="M130" s="602" t="e">
        <f>VLOOKUP(L130,#REF!,COLUMN(#REF!))</f>
        <v>#REF!</v>
      </c>
    </row>
    <row r="131" spans="1:13" ht="24">
      <c r="A131" s="583"/>
      <c r="B131" s="593" t="s">
        <v>647</v>
      </c>
      <c r="C131" s="570"/>
      <c r="D131" s="575" t="e">
        <f>VLOOKUP(L131,#REF!,COLUMN(#REF!))</f>
        <v>#REF!</v>
      </c>
      <c r="E131" s="587" t="e">
        <f>VLOOKUP(L131,#REF!,COLUMN(#REF!))</f>
        <v>#REF!</v>
      </c>
      <c r="F131" s="596"/>
      <c r="G131" s="597"/>
      <c r="H131" s="597"/>
      <c r="I131" s="590" t="e">
        <f>IF(ISNA(MATCH(K131,#REF!,0)),"нет такого кода",INDEX(#REF!,MATCH(K131,#REF!,0)))</f>
        <v>#REF!</v>
      </c>
      <c r="J131" s="598"/>
      <c r="K131" s="579" t="e">
        <f>IF(ISNA(MATCH(L131,#REF!,0)),"нет такого кода",INDEX(#REF!,MATCH(L131,#REF!,0)))</f>
        <v>#REF!</v>
      </c>
      <c r="L131" s="582">
        <v>239</v>
      </c>
      <c r="M131" s="602" t="e">
        <f>VLOOKUP(L131,#REF!,COLUMN(#REF!))</f>
        <v>#REF!</v>
      </c>
    </row>
    <row r="132" spans="1:13" ht="24">
      <c r="A132" s="583"/>
      <c r="B132" s="593" t="s">
        <v>648</v>
      </c>
      <c r="C132" s="570"/>
      <c r="D132" s="575" t="e">
        <f>VLOOKUP(L132,#REF!,COLUMN(#REF!))</f>
        <v>#REF!</v>
      </c>
      <c r="E132" s="587" t="e">
        <f>VLOOKUP(L132,#REF!,COLUMN(#REF!))</f>
        <v>#REF!</v>
      </c>
      <c r="F132" s="596"/>
      <c r="G132" s="597"/>
      <c r="H132" s="597"/>
      <c r="I132" s="590" t="e">
        <f>IF(ISNA(MATCH(K132,#REF!,0)),"нет такого кода",INDEX(#REF!,MATCH(K132,#REF!,0)))</f>
        <v>#REF!</v>
      </c>
      <c r="J132" s="598"/>
      <c r="K132" s="579" t="e">
        <f>IF(ISNA(MATCH(L132,#REF!,0)),"нет такого кода",INDEX(#REF!,MATCH(L132,#REF!,0)))</f>
        <v>#REF!</v>
      </c>
      <c r="L132" s="582">
        <v>240</v>
      </c>
      <c r="M132" s="602" t="e">
        <f>VLOOKUP(L132,#REF!,COLUMN(#REF!))</f>
        <v>#REF!</v>
      </c>
    </row>
    <row r="133" spans="1:13" ht="36">
      <c r="A133" s="583"/>
      <c r="B133" s="593" t="s">
        <v>649</v>
      </c>
      <c r="C133" s="570"/>
      <c r="D133" s="575" t="e">
        <f>VLOOKUP(L133,#REF!,COLUMN(#REF!))</f>
        <v>#REF!</v>
      </c>
      <c r="E133" s="587" t="e">
        <f>VLOOKUP(L133,#REF!,COLUMN(#REF!))</f>
        <v>#REF!</v>
      </c>
      <c r="F133" s="596"/>
      <c r="G133" s="597"/>
      <c r="H133" s="597"/>
      <c r="I133" s="590" t="e">
        <f>IF(ISNA(MATCH(K133,#REF!,0)),"нет такого кода",INDEX(#REF!,MATCH(K133,#REF!,0)))</f>
        <v>#REF!</v>
      </c>
      <c r="J133" s="598"/>
      <c r="K133" s="579" t="e">
        <f>IF(ISNA(MATCH(L133,#REF!,0)),"нет такого кода",INDEX(#REF!,MATCH(L133,#REF!,0)))</f>
        <v>#REF!</v>
      </c>
      <c r="L133" s="582">
        <v>241</v>
      </c>
      <c r="M133" s="602" t="e">
        <f>VLOOKUP(L133,#REF!,COLUMN(#REF!))</f>
        <v>#REF!</v>
      </c>
    </row>
    <row r="134" spans="1:13" ht="36">
      <c r="A134" s="583"/>
      <c r="B134" s="593" t="s">
        <v>650</v>
      </c>
      <c r="C134" s="570"/>
      <c r="D134" s="575" t="e">
        <f>VLOOKUP(L134,#REF!,COLUMN(#REF!))</f>
        <v>#REF!</v>
      </c>
      <c r="E134" s="587" t="e">
        <f>VLOOKUP(L134,#REF!,COLUMN(#REF!))</f>
        <v>#REF!</v>
      </c>
      <c r="F134" s="596"/>
      <c r="G134" s="597"/>
      <c r="H134" s="597"/>
      <c r="I134" s="590" t="e">
        <f>IF(ISNA(MATCH(K134,#REF!,0)),"нет такого кода",INDEX(#REF!,MATCH(K134,#REF!,0)))</f>
        <v>#REF!</v>
      </c>
      <c r="J134" s="598"/>
      <c r="K134" s="579" t="e">
        <f>IF(ISNA(MATCH(L134,#REF!,0)),"нет такого кода",INDEX(#REF!,MATCH(L134,#REF!,0)))</f>
        <v>#REF!</v>
      </c>
      <c r="L134" s="582">
        <v>245</v>
      </c>
      <c r="M134" s="602" t="e">
        <f>VLOOKUP(L134,#REF!,COLUMN(#REF!))</f>
        <v>#REF!</v>
      </c>
    </row>
    <row r="135" spans="1:13" ht="36">
      <c r="A135" s="583"/>
      <c r="B135" s="593" t="s">
        <v>651</v>
      </c>
      <c r="C135" s="570"/>
      <c r="D135" s="575" t="e">
        <f>VLOOKUP(L135,#REF!,COLUMN(#REF!))</f>
        <v>#REF!</v>
      </c>
      <c r="E135" s="587" t="e">
        <f>VLOOKUP(L135,#REF!,COLUMN(#REF!))</f>
        <v>#REF!</v>
      </c>
      <c r="F135" s="596"/>
      <c r="G135" s="597"/>
      <c r="H135" s="597"/>
      <c r="I135" s="590" t="e">
        <f>IF(ISNA(MATCH(K135,#REF!,0)),"нет такого кода",INDEX(#REF!,MATCH(K135,#REF!,0)))</f>
        <v>#REF!</v>
      </c>
      <c r="J135" s="598"/>
      <c r="K135" s="579" t="e">
        <f>IF(ISNA(MATCH(L135,#REF!,0)),"нет такого кода",INDEX(#REF!,MATCH(L135,#REF!,0)))</f>
        <v>#REF!</v>
      </c>
      <c r="L135" s="582">
        <v>249</v>
      </c>
      <c r="M135" s="602" t="e">
        <f>VLOOKUP(L135,#REF!,COLUMN(#REF!))</f>
        <v>#REF!</v>
      </c>
    </row>
    <row r="136" spans="1:13" ht="36">
      <c r="A136" s="583"/>
      <c r="B136" s="593" t="s">
        <v>652</v>
      </c>
      <c r="C136" s="570"/>
      <c r="D136" s="575" t="e">
        <f>VLOOKUP(L136,#REF!,COLUMN(#REF!))</f>
        <v>#REF!</v>
      </c>
      <c r="E136" s="587" t="e">
        <f>VLOOKUP(L136,#REF!,COLUMN(#REF!))</f>
        <v>#REF!</v>
      </c>
      <c r="F136" s="596"/>
      <c r="G136" s="597"/>
      <c r="H136" s="597"/>
      <c r="I136" s="590" t="e">
        <f>IF(ISNA(MATCH(K136,#REF!,0)),"нет такого кода",INDEX(#REF!,MATCH(K136,#REF!,0)))</f>
        <v>#REF!</v>
      </c>
      <c r="J136" s="598"/>
      <c r="K136" s="579" t="e">
        <f>IF(ISNA(MATCH(L136,#REF!,0)),"нет такого кода",INDEX(#REF!,MATCH(L136,#REF!,0)))</f>
        <v>#REF!</v>
      </c>
      <c r="L136" s="582">
        <v>253</v>
      </c>
      <c r="M136" s="602" t="e">
        <f>VLOOKUP(L136,#REF!,COLUMN(#REF!))</f>
        <v>#REF!</v>
      </c>
    </row>
    <row r="137" spans="1:13" ht="36">
      <c r="A137" s="583"/>
      <c r="B137" s="593" t="s">
        <v>654</v>
      </c>
      <c r="C137" s="570"/>
      <c r="D137" s="575" t="e">
        <f>VLOOKUP(L137,#REF!,COLUMN(#REF!))</f>
        <v>#REF!</v>
      </c>
      <c r="E137" s="587" t="e">
        <f>VLOOKUP(L137,#REF!,COLUMN(#REF!))</f>
        <v>#REF!</v>
      </c>
      <c r="F137" s="596"/>
      <c r="G137" s="597"/>
      <c r="H137" s="597"/>
      <c r="I137" s="590" t="e">
        <f>IF(ISNA(MATCH(K137,#REF!,0)),"нет такого кода",INDEX(#REF!,MATCH(K137,#REF!,0)))</f>
        <v>#REF!</v>
      </c>
      <c r="J137" s="598"/>
      <c r="K137" s="579" t="e">
        <f>IF(ISNA(MATCH(L137,#REF!,0)),"нет такого кода",INDEX(#REF!,MATCH(L137,#REF!,0)))</f>
        <v>#REF!</v>
      </c>
      <c r="L137" s="582">
        <v>257</v>
      </c>
      <c r="M137" s="602" t="e">
        <f>VLOOKUP(L137,#REF!,COLUMN(#REF!))</f>
        <v>#REF!</v>
      </c>
    </row>
    <row r="138" spans="1:13" ht="48">
      <c r="A138" s="583"/>
      <c r="B138" s="593" t="s">
        <v>653</v>
      </c>
      <c r="C138" s="570"/>
      <c r="D138" s="575" t="e">
        <f>VLOOKUP(L138,#REF!,COLUMN(#REF!))</f>
        <v>#REF!</v>
      </c>
      <c r="E138" s="587" t="e">
        <f>VLOOKUP(L138,#REF!,COLUMN(#REF!))</f>
        <v>#REF!</v>
      </c>
      <c r="F138" s="596"/>
      <c r="G138" s="597"/>
      <c r="H138" s="597"/>
      <c r="I138" s="590" t="e">
        <f>IF(ISNA(MATCH(K138,#REF!,0)),"нет такого кода",INDEX(#REF!,MATCH(K138,#REF!,0)))</f>
        <v>#REF!</v>
      </c>
      <c r="J138" s="598"/>
      <c r="K138" s="579" t="e">
        <f>IF(ISNA(MATCH(L138,#REF!,0)),"нет такого кода",INDEX(#REF!,MATCH(L138,#REF!,0)))</f>
        <v>#REF!</v>
      </c>
      <c r="L138" s="582">
        <v>261</v>
      </c>
      <c r="M138" s="602" t="e">
        <f>VLOOKUP(L138,#REF!,COLUMN(#REF!))</f>
        <v>#REF!</v>
      </c>
    </row>
    <row r="139" spans="1:13" ht="48">
      <c r="A139" s="583"/>
      <c r="B139" s="593" t="s">
        <v>655</v>
      </c>
      <c r="C139" s="570"/>
      <c r="D139" s="575" t="e">
        <f>VLOOKUP(L139,#REF!,COLUMN(#REF!))</f>
        <v>#REF!</v>
      </c>
      <c r="E139" s="587" t="e">
        <f>VLOOKUP(L139,#REF!,COLUMN(#REF!))</f>
        <v>#REF!</v>
      </c>
      <c r="F139" s="596"/>
      <c r="G139" s="597"/>
      <c r="H139" s="597"/>
      <c r="I139" s="590" t="e">
        <f>IF(ISNA(MATCH(K139,#REF!,0)),"нет такого кода",INDEX(#REF!,MATCH(K139,#REF!,0)))</f>
        <v>#REF!</v>
      </c>
      <c r="J139" s="598"/>
      <c r="K139" s="579" t="e">
        <f>IF(ISNA(MATCH(L139,#REF!,0)),"нет такого кода",INDEX(#REF!,MATCH(L139,#REF!,0)))</f>
        <v>#REF!</v>
      </c>
      <c r="L139" s="582">
        <v>265</v>
      </c>
      <c r="M139" s="602" t="e">
        <f>VLOOKUP(L139,#REF!,COLUMN(#REF!))</f>
        <v>#REF!</v>
      </c>
    </row>
    <row r="140" spans="1:13" ht="48">
      <c r="A140" s="583"/>
      <c r="B140" s="593" t="s">
        <v>656</v>
      </c>
      <c r="C140" s="570"/>
      <c r="D140" s="575" t="e">
        <f>VLOOKUP(L140,#REF!,COLUMN(#REF!))</f>
        <v>#REF!</v>
      </c>
      <c r="E140" s="587" t="e">
        <f>VLOOKUP(L140,#REF!,COLUMN(#REF!))</f>
        <v>#REF!</v>
      </c>
      <c r="F140" s="596"/>
      <c r="G140" s="597"/>
      <c r="H140" s="597"/>
      <c r="I140" s="590" t="e">
        <f>IF(ISNA(MATCH(K140,#REF!,0)),"нет такого кода",INDEX(#REF!,MATCH(K140,#REF!,0)))</f>
        <v>#REF!</v>
      </c>
      <c r="J140" s="598"/>
      <c r="K140" s="579" t="e">
        <f>IF(ISNA(MATCH(L140,#REF!,0)),"нет такого кода",INDEX(#REF!,MATCH(L140,#REF!,0)))</f>
        <v>#REF!</v>
      </c>
      <c r="L140" s="582">
        <v>269</v>
      </c>
      <c r="M140" s="602" t="e">
        <f>VLOOKUP(L140,#REF!,COLUMN(#REF!))</f>
        <v>#REF!</v>
      </c>
    </row>
    <row r="141" spans="1:13" ht="36">
      <c r="A141" s="583"/>
      <c r="B141" s="593" t="s">
        <v>657</v>
      </c>
      <c r="C141" s="570"/>
      <c r="D141" s="575" t="e">
        <f>VLOOKUP(L141,#REF!,COLUMN(#REF!))</f>
        <v>#REF!</v>
      </c>
      <c r="E141" s="587" t="e">
        <f>VLOOKUP(L141,#REF!,COLUMN(#REF!))</f>
        <v>#REF!</v>
      </c>
      <c r="F141" s="596"/>
      <c r="G141" s="597"/>
      <c r="H141" s="597"/>
      <c r="I141" s="590" t="e">
        <f>IF(ISNA(MATCH(K141,#REF!,0)),"нет такого кода",INDEX(#REF!,MATCH(K141,#REF!,0)))</f>
        <v>#REF!</v>
      </c>
      <c r="J141" s="598"/>
      <c r="K141" s="579" t="e">
        <f>IF(ISNA(MATCH(L141,#REF!,0)),"нет такого кода",INDEX(#REF!,MATCH(L141,#REF!,0)))</f>
        <v>#REF!</v>
      </c>
      <c r="L141" s="582">
        <v>273</v>
      </c>
      <c r="M141" s="602" t="e">
        <f>VLOOKUP(L141,#REF!,COLUMN(#REF!))</f>
        <v>#REF!</v>
      </c>
    </row>
    <row r="142" spans="1:13" ht="36">
      <c r="A142" s="583"/>
      <c r="B142" s="593" t="s">
        <v>658</v>
      </c>
      <c r="C142" s="570"/>
      <c r="D142" s="575" t="e">
        <f>VLOOKUP(L142,#REF!,COLUMN(#REF!))</f>
        <v>#REF!</v>
      </c>
      <c r="E142" s="587" t="e">
        <f>VLOOKUP(L142,#REF!,COLUMN(#REF!))</f>
        <v>#REF!</v>
      </c>
      <c r="F142" s="596"/>
      <c r="G142" s="597"/>
      <c r="H142" s="597"/>
      <c r="I142" s="590" t="e">
        <f>IF(ISNA(MATCH(K142,#REF!,0)),"нет такого кода",INDEX(#REF!,MATCH(K142,#REF!,0)))</f>
        <v>#REF!</v>
      </c>
      <c r="J142" s="598"/>
      <c r="K142" s="579" t="e">
        <f>IF(ISNA(MATCH(L142,#REF!,0)),"нет такого кода",INDEX(#REF!,MATCH(L142,#REF!,0)))</f>
        <v>#REF!</v>
      </c>
      <c r="L142" s="582">
        <v>277</v>
      </c>
      <c r="M142" s="602" t="e">
        <f>VLOOKUP(L142,#REF!,COLUMN(#REF!))</f>
        <v>#REF!</v>
      </c>
    </row>
    <row r="143" spans="1:13" ht="36">
      <c r="A143" s="583"/>
      <c r="B143" s="593" t="s">
        <v>659</v>
      </c>
      <c r="C143" s="570"/>
      <c r="D143" s="575" t="e">
        <f>VLOOKUP(L143,#REF!,COLUMN(#REF!))</f>
        <v>#REF!</v>
      </c>
      <c r="E143" s="587" t="e">
        <f>VLOOKUP(L143,#REF!,COLUMN(#REF!))</f>
        <v>#REF!</v>
      </c>
      <c r="F143" s="596"/>
      <c r="G143" s="597"/>
      <c r="H143" s="597"/>
      <c r="I143" s="590" t="e">
        <f>IF(ISNA(MATCH(K143,#REF!,0)),"нет такого кода",INDEX(#REF!,MATCH(K143,#REF!,0)))</f>
        <v>#REF!</v>
      </c>
      <c r="J143" s="598"/>
      <c r="K143" s="579" t="e">
        <f>IF(ISNA(MATCH(L143,#REF!,0)),"нет такого кода",INDEX(#REF!,MATCH(L143,#REF!,0)))</f>
        <v>#REF!</v>
      </c>
      <c r="L143" s="582">
        <v>281</v>
      </c>
      <c r="M143" s="602" t="e">
        <f>VLOOKUP(L143,#REF!,COLUMN(#REF!))</f>
        <v>#REF!</v>
      </c>
    </row>
    <row r="144" spans="1:13" ht="36">
      <c r="A144" s="583"/>
      <c r="B144" s="593" t="s">
        <v>660</v>
      </c>
      <c r="C144" s="570"/>
      <c r="D144" s="575" t="e">
        <f>VLOOKUP(L144,#REF!,COLUMN(#REF!))</f>
        <v>#REF!</v>
      </c>
      <c r="E144" s="587" t="e">
        <f>VLOOKUP(L144,#REF!,COLUMN(#REF!))</f>
        <v>#REF!</v>
      </c>
      <c r="F144" s="596"/>
      <c r="G144" s="597"/>
      <c r="H144" s="597"/>
      <c r="I144" s="590" t="e">
        <f>IF(ISNA(MATCH(K144,#REF!,0)),"нет такого кода",INDEX(#REF!,MATCH(K144,#REF!,0)))</f>
        <v>#REF!</v>
      </c>
      <c r="J144" s="598"/>
      <c r="K144" s="579" t="e">
        <f>IF(ISNA(MATCH(L144,#REF!,0)),"нет такого кода",INDEX(#REF!,MATCH(L144,#REF!,0)))</f>
        <v>#REF!</v>
      </c>
      <c r="L144" s="582">
        <v>285</v>
      </c>
      <c r="M144" s="602" t="e">
        <f>VLOOKUP(L144,#REF!,COLUMN(#REF!))</f>
        <v>#REF!</v>
      </c>
    </row>
    <row r="145" spans="1:13" ht="36">
      <c r="A145" s="583"/>
      <c r="B145" s="593" t="s">
        <v>661</v>
      </c>
      <c r="C145" s="570"/>
      <c r="D145" s="575" t="e">
        <f>VLOOKUP(L145,#REF!,COLUMN(#REF!))</f>
        <v>#REF!</v>
      </c>
      <c r="E145" s="587" t="e">
        <f>VLOOKUP(L145,#REF!,COLUMN(#REF!))</f>
        <v>#REF!</v>
      </c>
      <c r="F145" s="596"/>
      <c r="G145" s="597"/>
      <c r="H145" s="597"/>
      <c r="I145" s="590" t="e">
        <f>IF(ISNA(MATCH(K145,#REF!,0)),"нет такого кода",INDEX(#REF!,MATCH(K145,#REF!,0)))</f>
        <v>#REF!</v>
      </c>
      <c r="J145" s="598"/>
      <c r="K145" s="579" t="e">
        <f>IF(ISNA(MATCH(L145,#REF!,0)),"нет такого кода",INDEX(#REF!,MATCH(L145,#REF!,0)))</f>
        <v>#REF!</v>
      </c>
      <c r="L145" s="582">
        <v>289</v>
      </c>
      <c r="M145" s="602" t="e">
        <f>VLOOKUP(L145,#REF!,COLUMN(#REF!))</f>
        <v>#REF!</v>
      </c>
    </row>
    <row r="146" spans="1:13" ht="36">
      <c r="A146" s="583"/>
      <c r="B146" s="593" t="s">
        <v>662</v>
      </c>
      <c r="C146" s="570"/>
      <c r="D146" s="575" t="e">
        <f>VLOOKUP(L146,#REF!,COLUMN(#REF!))</f>
        <v>#REF!</v>
      </c>
      <c r="E146" s="587" t="e">
        <f>VLOOKUP(L146,#REF!,COLUMN(#REF!))</f>
        <v>#REF!</v>
      </c>
      <c r="F146" s="596"/>
      <c r="G146" s="597"/>
      <c r="H146" s="597"/>
      <c r="I146" s="590" t="e">
        <f>IF(ISNA(MATCH(K146,#REF!,0)),"нет такого кода",INDEX(#REF!,MATCH(K146,#REF!,0)))</f>
        <v>#REF!</v>
      </c>
      <c r="J146" s="598"/>
      <c r="K146" s="579" t="e">
        <f>IF(ISNA(MATCH(L146,#REF!,0)),"нет такого кода",INDEX(#REF!,MATCH(L146,#REF!,0)))</f>
        <v>#REF!</v>
      </c>
      <c r="L146" s="582">
        <v>293</v>
      </c>
      <c r="M146" s="602" t="e">
        <f>VLOOKUP(L146,#REF!,COLUMN(#REF!))</f>
        <v>#REF!</v>
      </c>
    </row>
    <row r="147" spans="1:13" ht="48">
      <c r="A147" s="583"/>
      <c r="B147" s="612" t="s">
        <v>663</v>
      </c>
      <c r="C147" s="570"/>
      <c r="D147" s="575" t="e">
        <f>VLOOKUP(L147,#REF!,COLUMN(#REF!))</f>
        <v>#REF!</v>
      </c>
      <c r="E147" s="587" t="e">
        <f>VLOOKUP(L147,#REF!,COLUMN(#REF!))</f>
        <v>#REF!</v>
      </c>
      <c r="F147" s="596"/>
      <c r="G147" s="597"/>
      <c r="H147" s="597"/>
      <c r="I147" s="590" t="e">
        <f>IF(ISNA(MATCH(K147,#REF!,0)),"нет такого кода",INDEX(#REF!,MATCH(K147,#REF!,0)))</f>
        <v>#REF!</v>
      </c>
      <c r="J147" s="598"/>
      <c r="K147" s="579" t="e">
        <f>IF(ISNA(MATCH(L147,#REF!,0)),"нет такого кода",INDEX(#REF!,MATCH(L147,#REF!,0)))</f>
        <v>#REF!</v>
      </c>
      <c r="L147" s="582">
        <v>297</v>
      </c>
      <c r="M147" s="602" t="e">
        <f>VLOOKUP(L147,#REF!,COLUMN(#REF!))</f>
        <v>#REF!</v>
      </c>
    </row>
    <row r="148" spans="1:13" ht="48">
      <c r="A148" s="583"/>
      <c r="B148" s="593" t="s">
        <v>664</v>
      </c>
      <c r="C148" s="570"/>
      <c r="D148" s="575" t="e">
        <f>VLOOKUP(L148,#REF!,COLUMN(#REF!))</f>
        <v>#REF!</v>
      </c>
      <c r="E148" s="587" t="e">
        <f>VLOOKUP(L148,#REF!,COLUMN(#REF!))</f>
        <v>#REF!</v>
      </c>
      <c r="F148" s="596"/>
      <c r="G148" s="597"/>
      <c r="H148" s="597"/>
      <c r="I148" s="590" t="e">
        <f>IF(ISNA(MATCH(K148,#REF!,0)),"нет такого кода",INDEX(#REF!,MATCH(K148,#REF!,0)))</f>
        <v>#REF!</v>
      </c>
      <c r="J148" s="598"/>
      <c r="K148" s="579" t="e">
        <f>IF(ISNA(MATCH(L148,#REF!,0)),"нет такого кода",INDEX(#REF!,MATCH(L148,#REF!,0)))</f>
        <v>#REF!</v>
      </c>
      <c r="L148" s="582">
        <v>301</v>
      </c>
      <c r="M148" s="602" t="e">
        <f>VLOOKUP(L148,#REF!,COLUMN(#REF!))</f>
        <v>#REF!</v>
      </c>
    </row>
    <row r="149" spans="1:13" ht="48">
      <c r="A149" s="583"/>
      <c r="B149" s="593" t="s">
        <v>665</v>
      </c>
      <c r="C149" s="570"/>
      <c r="D149" s="575" t="e">
        <f>VLOOKUP(L149,#REF!,COLUMN(#REF!))</f>
        <v>#REF!</v>
      </c>
      <c r="E149" s="587" t="e">
        <f>VLOOKUP(L149,#REF!,COLUMN(#REF!))</f>
        <v>#REF!</v>
      </c>
      <c r="F149" s="596"/>
      <c r="G149" s="597"/>
      <c r="H149" s="597"/>
      <c r="I149" s="590" t="e">
        <f>IF(ISNA(MATCH(K149,#REF!,0)),"нет такого кода",INDEX(#REF!,MATCH(K149,#REF!,0)))</f>
        <v>#REF!</v>
      </c>
      <c r="J149" s="598"/>
      <c r="K149" s="579" t="e">
        <f>IF(ISNA(MATCH(L149,#REF!,0)),"нет такого кода",INDEX(#REF!,MATCH(L149,#REF!,0)))</f>
        <v>#REF!</v>
      </c>
      <c r="L149" s="582">
        <v>305</v>
      </c>
      <c r="M149" s="602" t="e">
        <f>VLOOKUP(L149,#REF!,COLUMN(#REF!))</f>
        <v>#REF!</v>
      </c>
    </row>
    <row r="150" spans="1:13" ht="48">
      <c r="A150" s="583"/>
      <c r="B150" s="593" t="s">
        <v>666</v>
      </c>
      <c r="C150" s="570"/>
      <c r="D150" s="575" t="e">
        <f>VLOOKUP(L150,#REF!,COLUMN(#REF!))</f>
        <v>#REF!</v>
      </c>
      <c r="E150" s="587" t="e">
        <f>VLOOKUP(L150,#REF!,COLUMN(#REF!))</f>
        <v>#REF!</v>
      </c>
      <c r="F150" s="596"/>
      <c r="G150" s="597"/>
      <c r="H150" s="597"/>
      <c r="I150" s="590" t="e">
        <f>IF(ISNA(MATCH(K150,#REF!,0)),"нет такого кода",INDEX(#REF!,MATCH(K150,#REF!,0)))</f>
        <v>#REF!</v>
      </c>
      <c r="J150" s="598"/>
      <c r="K150" s="579" t="e">
        <f>IF(ISNA(MATCH(L150,#REF!,0)),"нет такого кода",INDEX(#REF!,MATCH(L150,#REF!,0)))</f>
        <v>#REF!</v>
      </c>
      <c r="L150" s="582">
        <v>309</v>
      </c>
      <c r="M150" s="602" t="e">
        <f>VLOOKUP(L150,#REF!,COLUMN(#REF!))</f>
        <v>#REF!</v>
      </c>
    </row>
    <row r="151" spans="1:13" ht="48">
      <c r="A151" s="583"/>
      <c r="B151" s="593" t="s">
        <v>667</v>
      </c>
      <c r="C151" s="570"/>
      <c r="D151" s="575" t="e">
        <f>VLOOKUP(L151,#REF!,COLUMN(#REF!))</f>
        <v>#REF!</v>
      </c>
      <c r="E151" s="587" t="e">
        <f>VLOOKUP(L151,#REF!,COLUMN(#REF!))</f>
        <v>#REF!</v>
      </c>
      <c r="F151" s="596"/>
      <c r="G151" s="597"/>
      <c r="H151" s="597"/>
      <c r="I151" s="590" t="e">
        <f>IF(ISNA(MATCH(K151,#REF!,0)),"нет такого кода",INDEX(#REF!,MATCH(K151,#REF!,0)))</f>
        <v>#REF!</v>
      </c>
      <c r="J151" s="598"/>
      <c r="K151" s="579" t="e">
        <f>IF(ISNA(MATCH(L151,#REF!,0)),"нет такого кода",INDEX(#REF!,MATCH(L151,#REF!,0)))</f>
        <v>#REF!</v>
      </c>
      <c r="L151" s="582">
        <v>313</v>
      </c>
      <c r="M151" s="602" t="e">
        <f>VLOOKUP(L151,#REF!,COLUMN(#REF!))</f>
        <v>#REF!</v>
      </c>
    </row>
    <row r="152" spans="1:13" ht="48">
      <c r="A152" s="583"/>
      <c r="B152" s="593" t="s">
        <v>668</v>
      </c>
      <c r="C152" s="570"/>
      <c r="D152" s="575" t="e">
        <f>VLOOKUP(L152,#REF!,COLUMN(#REF!))</f>
        <v>#REF!</v>
      </c>
      <c r="E152" s="587" t="e">
        <f>VLOOKUP(L152,#REF!,COLUMN(#REF!))</f>
        <v>#REF!</v>
      </c>
      <c r="F152" s="596"/>
      <c r="G152" s="597"/>
      <c r="H152" s="597"/>
      <c r="I152" s="590" t="e">
        <f>IF(ISNA(MATCH(K152,#REF!,0)),"нет такого кода",INDEX(#REF!,MATCH(K152,#REF!,0)))</f>
        <v>#REF!</v>
      </c>
      <c r="J152" s="598"/>
      <c r="K152" s="579" t="e">
        <f>IF(ISNA(MATCH(L152,#REF!,0)),"нет такого кода",INDEX(#REF!,MATCH(L152,#REF!,0)))</f>
        <v>#REF!</v>
      </c>
      <c r="L152" s="582">
        <v>317</v>
      </c>
      <c r="M152" s="602" t="e">
        <f>VLOOKUP(L152,#REF!,COLUMN(#REF!))</f>
        <v>#REF!</v>
      </c>
    </row>
    <row r="153" spans="1:13" ht="48">
      <c r="A153" s="583"/>
      <c r="B153" s="593" t="s">
        <v>669</v>
      </c>
      <c r="C153" s="570"/>
      <c r="D153" s="575" t="e">
        <f>VLOOKUP(L153,#REF!,COLUMN(#REF!))</f>
        <v>#REF!</v>
      </c>
      <c r="E153" s="587" t="e">
        <f>VLOOKUP(L153,#REF!,COLUMN(#REF!))</f>
        <v>#REF!</v>
      </c>
      <c r="F153" s="596"/>
      <c r="G153" s="597"/>
      <c r="H153" s="597"/>
      <c r="I153" s="590" t="e">
        <f>IF(ISNA(MATCH(K153,#REF!,0)),"нет такого кода",INDEX(#REF!,MATCH(K153,#REF!,0)))</f>
        <v>#REF!</v>
      </c>
      <c r="J153" s="598"/>
      <c r="K153" s="579" t="e">
        <f>IF(ISNA(MATCH(L153,#REF!,0)),"нет такого кода",INDEX(#REF!,MATCH(L153,#REF!,0)))</f>
        <v>#REF!</v>
      </c>
      <c r="L153" s="582">
        <v>321</v>
      </c>
      <c r="M153" s="602" t="e">
        <f>VLOOKUP(L153,#REF!,COLUMN(#REF!))</f>
        <v>#REF!</v>
      </c>
    </row>
    <row r="154" spans="1:13" ht="48">
      <c r="A154" s="583"/>
      <c r="B154" s="593" t="s">
        <v>670</v>
      </c>
      <c r="C154" s="570"/>
      <c r="D154" s="575" t="e">
        <f>VLOOKUP(L154,#REF!,COLUMN(#REF!))</f>
        <v>#REF!</v>
      </c>
      <c r="E154" s="587" t="e">
        <f>VLOOKUP(L154,#REF!,COLUMN(#REF!))</f>
        <v>#REF!</v>
      </c>
      <c r="F154" s="596"/>
      <c r="G154" s="597"/>
      <c r="H154" s="597"/>
      <c r="I154" s="590" t="e">
        <f>IF(ISNA(MATCH(K154,#REF!,0)),"нет такого кода",INDEX(#REF!,MATCH(K154,#REF!,0)))</f>
        <v>#REF!</v>
      </c>
      <c r="J154" s="598"/>
      <c r="K154" s="579" t="e">
        <f>IF(ISNA(MATCH(L154,#REF!,0)),"нет такого кода",INDEX(#REF!,MATCH(L154,#REF!,0)))</f>
        <v>#REF!</v>
      </c>
      <c r="L154" s="582">
        <v>325</v>
      </c>
      <c r="M154" s="602" t="e">
        <f>VLOOKUP(L154,#REF!,COLUMN(#REF!))</f>
        <v>#REF!</v>
      </c>
    </row>
    <row r="155" spans="1:13" ht="48">
      <c r="A155" s="583"/>
      <c r="B155" s="593" t="s">
        <v>671</v>
      </c>
      <c r="C155" s="570"/>
      <c r="D155" s="575" t="e">
        <f>VLOOKUP(L155,#REF!,COLUMN(#REF!))</f>
        <v>#REF!</v>
      </c>
      <c r="E155" s="587" t="e">
        <f>VLOOKUP(L155,#REF!,COLUMN(#REF!))</f>
        <v>#REF!</v>
      </c>
      <c r="F155" s="596"/>
      <c r="G155" s="597"/>
      <c r="H155" s="597"/>
      <c r="I155" s="590" t="e">
        <f>IF(ISNA(MATCH(K155,#REF!,0)),"нет такого кода",INDEX(#REF!,MATCH(K155,#REF!,0)))</f>
        <v>#REF!</v>
      </c>
      <c r="J155" s="598"/>
      <c r="K155" s="579" t="e">
        <f>IF(ISNA(MATCH(L155,#REF!,0)),"нет такого кода",INDEX(#REF!,MATCH(L155,#REF!,0)))</f>
        <v>#REF!</v>
      </c>
      <c r="L155" s="582">
        <v>329</v>
      </c>
      <c r="M155" s="602" t="e">
        <f>VLOOKUP(L155,#REF!,COLUMN(#REF!))</f>
        <v>#REF!</v>
      </c>
    </row>
    <row r="156" spans="1:13" ht="48">
      <c r="A156" s="583"/>
      <c r="B156" s="593" t="s">
        <v>672</v>
      </c>
      <c r="C156" s="570"/>
      <c r="D156" s="575" t="e">
        <f>VLOOKUP(L156,#REF!,COLUMN(#REF!))</f>
        <v>#REF!</v>
      </c>
      <c r="E156" s="587" t="e">
        <f>VLOOKUP(L156,#REF!,COLUMN(#REF!))</f>
        <v>#REF!</v>
      </c>
      <c r="F156" s="596"/>
      <c r="G156" s="597"/>
      <c r="H156" s="597"/>
      <c r="I156" s="590" t="e">
        <f>IF(ISNA(MATCH(K156,#REF!,0)),"нет такого кода",INDEX(#REF!,MATCH(K156,#REF!,0)))</f>
        <v>#REF!</v>
      </c>
      <c r="J156" s="598"/>
      <c r="K156" s="579" t="e">
        <f>IF(ISNA(MATCH(L156,#REF!,0)),"нет такого кода",INDEX(#REF!,MATCH(L156,#REF!,0)))</f>
        <v>#REF!</v>
      </c>
      <c r="L156" s="582">
        <v>333</v>
      </c>
      <c r="M156" s="602" t="e">
        <f>VLOOKUP(L156,#REF!,COLUMN(#REF!))</f>
        <v>#REF!</v>
      </c>
    </row>
    <row r="157" spans="1:13" ht="48">
      <c r="A157" s="583"/>
      <c r="B157" s="593" t="s">
        <v>673</v>
      </c>
      <c r="C157" s="570"/>
      <c r="D157" s="575" t="e">
        <f>VLOOKUP(L157,#REF!,COLUMN(#REF!))</f>
        <v>#REF!</v>
      </c>
      <c r="E157" s="587" t="e">
        <f>VLOOKUP(L157,#REF!,COLUMN(#REF!))</f>
        <v>#REF!</v>
      </c>
      <c r="F157" s="596"/>
      <c r="G157" s="597"/>
      <c r="H157" s="597"/>
      <c r="I157" s="590" t="e">
        <f>IF(ISNA(MATCH(K157,#REF!,0)),"нет такого кода",INDEX(#REF!,MATCH(K157,#REF!,0)))</f>
        <v>#REF!</v>
      </c>
      <c r="J157" s="598"/>
      <c r="K157" s="579" t="e">
        <f>IF(ISNA(MATCH(L157,#REF!,0)),"нет такого кода",INDEX(#REF!,MATCH(L157,#REF!,0)))</f>
        <v>#REF!</v>
      </c>
      <c r="L157" s="582">
        <v>337</v>
      </c>
      <c r="M157" s="602" t="e">
        <f>VLOOKUP(L157,#REF!,COLUMN(#REF!))</f>
        <v>#REF!</v>
      </c>
    </row>
    <row r="158" spans="1:13" ht="48">
      <c r="A158" s="583"/>
      <c r="B158" s="593" t="s">
        <v>674</v>
      </c>
      <c r="C158" s="570"/>
      <c r="D158" s="575" t="e">
        <f>VLOOKUP(L158,#REF!,COLUMN(#REF!))</f>
        <v>#REF!</v>
      </c>
      <c r="E158" s="587" t="e">
        <f>VLOOKUP(L158,#REF!,COLUMN(#REF!))</f>
        <v>#REF!</v>
      </c>
      <c r="F158" s="596"/>
      <c r="G158" s="597"/>
      <c r="H158" s="597"/>
      <c r="I158" s="590" t="e">
        <f>IF(ISNA(MATCH(K158,#REF!,0)),"нет такого кода",INDEX(#REF!,MATCH(K158,#REF!,0)))</f>
        <v>#REF!</v>
      </c>
      <c r="J158" s="598"/>
      <c r="K158" s="579" t="e">
        <f>IF(ISNA(MATCH(L158,#REF!,0)),"нет такого кода",INDEX(#REF!,MATCH(L158,#REF!,0)))</f>
        <v>#REF!</v>
      </c>
      <c r="L158" s="582">
        <v>341</v>
      </c>
      <c r="M158" s="602" t="e">
        <f>VLOOKUP(L158,#REF!,COLUMN(#REF!))</f>
        <v>#REF!</v>
      </c>
    </row>
    <row r="159" spans="1:13" ht="48">
      <c r="A159" s="583"/>
      <c r="B159" s="593" t="s">
        <v>675</v>
      </c>
      <c r="C159" s="570"/>
      <c r="D159" s="575" t="e">
        <f>VLOOKUP(L159,#REF!,COLUMN(#REF!))</f>
        <v>#REF!</v>
      </c>
      <c r="E159" s="587" t="e">
        <f>VLOOKUP(L159,#REF!,COLUMN(#REF!))</f>
        <v>#REF!</v>
      </c>
      <c r="F159" s="596"/>
      <c r="G159" s="597"/>
      <c r="H159" s="597"/>
      <c r="I159" s="590" t="e">
        <f>IF(ISNA(MATCH(K159,#REF!,0)),"нет такого кода",INDEX(#REF!,MATCH(K159,#REF!,0)))</f>
        <v>#REF!</v>
      </c>
      <c r="J159" s="598"/>
      <c r="K159" s="579" t="e">
        <f>IF(ISNA(MATCH(L159,#REF!,0)),"нет такого кода",INDEX(#REF!,MATCH(L159,#REF!,0)))</f>
        <v>#REF!</v>
      </c>
      <c r="L159" s="582">
        <v>345</v>
      </c>
      <c r="M159" s="602" t="e">
        <f>VLOOKUP(L159,#REF!,COLUMN(#REF!))</f>
        <v>#REF!</v>
      </c>
    </row>
    <row r="160" spans="1:13" ht="48">
      <c r="A160" s="583"/>
      <c r="B160" s="593" t="s">
        <v>676</v>
      </c>
      <c r="C160" s="570"/>
      <c r="D160" s="575" t="e">
        <f>VLOOKUP(L160,#REF!,COLUMN(#REF!))</f>
        <v>#REF!</v>
      </c>
      <c r="E160" s="587" t="e">
        <f>VLOOKUP(L160,#REF!,COLUMN(#REF!))</f>
        <v>#REF!</v>
      </c>
      <c r="F160" s="596"/>
      <c r="G160" s="597"/>
      <c r="H160" s="597"/>
      <c r="I160" s="590" t="e">
        <f>IF(ISNA(MATCH(K160,#REF!,0)),"нет такого кода",INDEX(#REF!,MATCH(K160,#REF!,0)))</f>
        <v>#REF!</v>
      </c>
      <c r="J160" s="598"/>
      <c r="K160" s="579" t="e">
        <f>IF(ISNA(MATCH(L160,#REF!,0)),"нет такого кода",INDEX(#REF!,MATCH(L160,#REF!,0)))</f>
        <v>#REF!</v>
      </c>
      <c r="L160" s="582">
        <v>349</v>
      </c>
      <c r="M160" s="602" t="e">
        <f>VLOOKUP(L160,#REF!,COLUMN(#REF!))</f>
        <v>#REF!</v>
      </c>
    </row>
    <row r="161" spans="1:13">
      <c r="A161" s="583"/>
      <c r="B161" s="593" t="s">
        <v>552</v>
      </c>
      <c r="C161" s="570"/>
      <c r="D161" s="575" t="e">
        <f>VLOOKUP(L161,#REF!,COLUMN(#REF!))</f>
        <v>#REF!</v>
      </c>
      <c r="E161" s="587" t="e">
        <f>VLOOKUP(L161,#REF!,COLUMN(#REF!))</f>
        <v>#REF!</v>
      </c>
      <c r="F161" s="596"/>
      <c r="G161" s="597"/>
      <c r="H161" s="597"/>
      <c r="I161" s="590" t="e">
        <f>IF(ISNA(MATCH(K161,#REF!,0)),"нет такого кода",INDEX(#REF!,MATCH(K161,#REF!,0)))</f>
        <v>#REF!</v>
      </c>
      <c r="J161" s="598"/>
      <c r="K161" s="579" t="e">
        <f>IF(ISNA(MATCH(L161,#REF!,0)),"нет такого кода",INDEX(#REF!,MATCH(L161,#REF!,0)))</f>
        <v>#REF!</v>
      </c>
      <c r="L161" s="582">
        <v>353</v>
      </c>
      <c r="M161" s="602" t="e">
        <f>VLOOKUP(L161,#REF!,COLUMN(#REF!))</f>
        <v>#REF!</v>
      </c>
    </row>
    <row r="162" spans="1:13">
      <c r="A162" s="583"/>
      <c r="B162" s="612" t="s">
        <v>677</v>
      </c>
      <c r="C162" s="570"/>
      <c r="D162" s="575" t="e">
        <f>VLOOKUP(L162,#REF!,COLUMN(#REF!))</f>
        <v>#REF!</v>
      </c>
      <c r="E162" s="587" t="e">
        <f>VLOOKUP(L162,#REF!,COLUMN(#REF!))</f>
        <v>#REF!</v>
      </c>
      <c r="F162" s="596"/>
      <c r="G162" s="597"/>
      <c r="H162" s="597"/>
      <c r="I162" s="590" t="e">
        <f>IF(ISNA(MATCH(K162,#REF!,0)),"нет такого кода",INDEX(#REF!,MATCH(K162,#REF!,0)))</f>
        <v>#REF!</v>
      </c>
      <c r="J162" s="598"/>
      <c r="K162" s="579" t="e">
        <f>IF(ISNA(MATCH(L162,#REF!,0)),"нет такого кода",INDEX(#REF!,MATCH(L162,#REF!,0)))</f>
        <v>#REF!</v>
      </c>
      <c r="L162" s="582">
        <v>355</v>
      </c>
      <c r="M162" s="602" t="e">
        <f>VLOOKUP(L162,#REF!,COLUMN(#REF!))</f>
        <v>#REF!</v>
      </c>
    </row>
    <row r="163" spans="1:13">
      <c r="A163" s="583"/>
      <c r="B163" s="612" t="s">
        <v>678</v>
      </c>
      <c r="C163" s="570"/>
      <c r="D163" s="575" t="e">
        <f>VLOOKUP(L163,#REF!,COLUMN(#REF!))</f>
        <v>#REF!</v>
      </c>
      <c r="E163" s="587" t="e">
        <f>VLOOKUP(L163,#REF!,COLUMN(#REF!))</f>
        <v>#REF!</v>
      </c>
      <c r="F163" s="596"/>
      <c r="G163" s="597"/>
      <c r="H163" s="597"/>
      <c r="I163" s="590" t="e">
        <f>IF(ISNA(MATCH(K163,#REF!,0)),"нет такого кода",INDEX(#REF!,MATCH(K163,#REF!,0)))</f>
        <v>#REF!</v>
      </c>
      <c r="J163" s="598"/>
      <c r="K163" s="579" t="e">
        <f>IF(ISNA(MATCH(L163,#REF!,0)),"нет такого кода",INDEX(#REF!,MATCH(L163,#REF!,0)))</f>
        <v>#REF!</v>
      </c>
      <c r="L163" s="582">
        <v>359</v>
      </c>
      <c r="M163" s="602" t="e">
        <f>VLOOKUP(L163,#REF!,COLUMN(#REF!))</f>
        <v>#REF!</v>
      </c>
    </row>
    <row r="164" spans="1:13">
      <c r="A164" s="583"/>
      <c r="B164" s="612" t="s">
        <v>679</v>
      </c>
      <c r="C164" s="570"/>
      <c r="D164" s="575" t="e">
        <f>VLOOKUP(L164,#REF!,COLUMN(#REF!))</f>
        <v>#REF!</v>
      </c>
      <c r="E164" s="587" t="e">
        <f>VLOOKUP(L164,#REF!,COLUMN(#REF!))</f>
        <v>#REF!</v>
      </c>
      <c r="F164" s="596"/>
      <c r="G164" s="597"/>
      <c r="H164" s="597"/>
      <c r="I164" s="590" t="e">
        <f>IF(ISNA(MATCH(K164,#REF!,0)),"нет такого кода",INDEX(#REF!,MATCH(K164,#REF!,0)))</f>
        <v>#REF!</v>
      </c>
      <c r="J164" s="598"/>
      <c r="K164" s="579" t="e">
        <f>IF(ISNA(MATCH(L164,#REF!,0)),"нет такого кода",INDEX(#REF!,MATCH(L164,#REF!,0)))</f>
        <v>#REF!</v>
      </c>
      <c r="L164" s="582">
        <v>363</v>
      </c>
      <c r="M164" s="602" t="e">
        <f>VLOOKUP(L164,#REF!,COLUMN(#REF!))</f>
        <v>#REF!</v>
      </c>
    </row>
    <row r="165" spans="1:13">
      <c r="A165" s="583"/>
      <c r="B165" s="612" t="s">
        <v>680</v>
      </c>
      <c r="C165" s="570"/>
      <c r="D165" s="575" t="e">
        <f>VLOOKUP(L165,#REF!,COLUMN(#REF!))</f>
        <v>#REF!</v>
      </c>
      <c r="E165" s="587" t="e">
        <f>VLOOKUP(L165,#REF!,COLUMN(#REF!))</f>
        <v>#REF!</v>
      </c>
      <c r="F165" s="596"/>
      <c r="G165" s="597"/>
      <c r="H165" s="597"/>
      <c r="I165" s="590" t="e">
        <f>IF(ISNA(MATCH(K165,#REF!,0)),"нет такого кода",INDEX(#REF!,MATCH(K165,#REF!,0)))</f>
        <v>#REF!</v>
      </c>
      <c r="J165" s="598"/>
      <c r="K165" s="579" t="e">
        <f>IF(ISNA(MATCH(L165,#REF!,0)),"нет такого кода",INDEX(#REF!,MATCH(L165,#REF!,0)))</f>
        <v>#REF!</v>
      </c>
      <c r="L165" s="582">
        <v>367</v>
      </c>
      <c r="M165" s="602" t="e">
        <f>VLOOKUP(L165,#REF!,COLUMN(#REF!))</f>
        <v>#REF!</v>
      </c>
    </row>
    <row r="166" spans="1:13">
      <c r="A166" s="583"/>
      <c r="B166" s="612" t="s">
        <v>681</v>
      </c>
      <c r="C166" s="570"/>
      <c r="D166" s="575" t="e">
        <f>VLOOKUP(L166,#REF!,COLUMN(#REF!))</f>
        <v>#REF!</v>
      </c>
      <c r="E166" s="587" t="e">
        <f>VLOOKUP(L166,#REF!,COLUMN(#REF!))</f>
        <v>#REF!</v>
      </c>
      <c r="F166" s="596"/>
      <c r="G166" s="597"/>
      <c r="H166" s="597"/>
      <c r="I166" s="590" t="e">
        <f>IF(ISNA(MATCH(K166,#REF!,0)),"нет такого кода",INDEX(#REF!,MATCH(K166,#REF!,0)))</f>
        <v>#REF!</v>
      </c>
      <c r="J166" s="598"/>
      <c r="K166" s="579" t="e">
        <f>IF(ISNA(MATCH(L166,#REF!,0)),"нет такого кода",INDEX(#REF!,MATCH(L166,#REF!,0)))</f>
        <v>#REF!</v>
      </c>
      <c r="L166" s="582">
        <v>371</v>
      </c>
      <c r="M166" s="602" t="e">
        <f>VLOOKUP(L166,#REF!,COLUMN(#REF!))</f>
        <v>#REF!</v>
      </c>
    </row>
    <row r="167" spans="1:13">
      <c r="A167" s="583"/>
      <c r="B167" s="593" t="s">
        <v>682</v>
      </c>
      <c r="C167" s="570"/>
      <c r="D167" s="575" t="e">
        <f>VLOOKUP(L167,#REF!,COLUMN(#REF!))</f>
        <v>#REF!</v>
      </c>
      <c r="E167" s="587" t="e">
        <f>VLOOKUP(L167,#REF!,COLUMN(#REF!))</f>
        <v>#REF!</v>
      </c>
      <c r="F167" s="596"/>
      <c r="G167" s="597"/>
      <c r="H167" s="597"/>
      <c r="I167" s="590" t="e">
        <f>IF(ISNA(MATCH(K167,#REF!,0)),"нет такого кода",INDEX(#REF!,MATCH(K167,#REF!,0)))</f>
        <v>#REF!</v>
      </c>
      <c r="J167" s="598"/>
      <c r="K167" s="579" t="e">
        <f>IF(ISNA(MATCH(L167,#REF!,0)),"нет такого кода",INDEX(#REF!,MATCH(L167,#REF!,0)))</f>
        <v>#REF!</v>
      </c>
      <c r="L167" s="582">
        <v>375</v>
      </c>
      <c r="M167" s="602" t="e">
        <f>VLOOKUP(L167,#REF!,COLUMN(#REF!))</f>
        <v>#REF!</v>
      </c>
    </row>
    <row r="168" spans="1:13">
      <c r="A168" s="583"/>
      <c r="B168" s="612" t="s">
        <v>683</v>
      </c>
      <c r="C168" s="570"/>
      <c r="D168" s="575" t="e">
        <f>VLOOKUP(L168,#REF!,COLUMN(#REF!))</f>
        <v>#REF!</v>
      </c>
      <c r="E168" s="587" t="e">
        <f>VLOOKUP(L168,#REF!,COLUMN(#REF!))</f>
        <v>#REF!</v>
      </c>
      <c r="F168" s="596"/>
      <c r="G168" s="597"/>
      <c r="H168" s="597"/>
      <c r="I168" s="590" t="e">
        <f>IF(ISNA(MATCH(K168,#REF!,0)),"нет такого кода",INDEX(#REF!,MATCH(K168,#REF!,0)))</f>
        <v>#REF!</v>
      </c>
      <c r="J168" s="598"/>
      <c r="K168" s="579" t="e">
        <f>IF(ISNA(MATCH(L168,#REF!,0)),"нет такого кода",INDEX(#REF!,MATCH(L168,#REF!,0)))</f>
        <v>#REF!</v>
      </c>
      <c r="L168" s="582">
        <v>379</v>
      </c>
      <c r="M168" s="602" t="e">
        <f>VLOOKUP(L168,#REF!,COLUMN(#REF!))</f>
        <v>#REF!</v>
      </c>
    </row>
    <row r="169" spans="1:13">
      <c r="A169" s="583"/>
      <c r="B169" s="612" t="s">
        <v>684</v>
      </c>
      <c r="C169" s="570"/>
      <c r="D169" s="575" t="e">
        <f>VLOOKUP(L169,#REF!,COLUMN(#REF!))</f>
        <v>#REF!</v>
      </c>
      <c r="E169" s="587" t="e">
        <f>VLOOKUP(L169,#REF!,COLUMN(#REF!))</f>
        <v>#REF!</v>
      </c>
      <c r="F169" s="596"/>
      <c r="G169" s="597"/>
      <c r="H169" s="597"/>
      <c r="I169" s="590" t="e">
        <f>IF(ISNA(MATCH(K169,#REF!,0)),"нет такого кода",INDEX(#REF!,MATCH(K169,#REF!,0)))</f>
        <v>#REF!</v>
      </c>
      <c r="J169" s="598"/>
      <c r="K169" s="579" t="e">
        <f>IF(ISNA(MATCH(L169,#REF!,0)),"нет такого кода",INDEX(#REF!,MATCH(L169,#REF!,0)))</f>
        <v>#REF!</v>
      </c>
      <c r="L169" s="582">
        <v>383</v>
      </c>
      <c r="M169" s="602" t="e">
        <f>VLOOKUP(L169,#REF!,COLUMN(#REF!))</f>
        <v>#REF!</v>
      </c>
    </row>
    <row r="170" spans="1:13">
      <c r="A170" s="583"/>
      <c r="B170" s="612" t="s">
        <v>685</v>
      </c>
      <c r="C170" s="570"/>
      <c r="D170" s="575" t="e">
        <f>VLOOKUP(L170,#REF!,COLUMN(#REF!))</f>
        <v>#REF!</v>
      </c>
      <c r="E170" s="587" t="e">
        <f>VLOOKUP(L170,#REF!,COLUMN(#REF!))</f>
        <v>#REF!</v>
      </c>
      <c r="F170" s="596"/>
      <c r="G170" s="597"/>
      <c r="H170" s="597"/>
      <c r="I170" s="590" t="e">
        <f>IF(ISNA(MATCH(K170,#REF!,0)),"нет такого кода",INDEX(#REF!,MATCH(K170,#REF!,0)))</f>
        <v>#REF!</v>
      </c>
      <c r="J170" s="598"/>
      <c r="K170" s="579" t="e">
        <f>IF(ISNA(MATCH(L170,#REF!,0)),"нет такого кода",INDEX(#REF!,MATCH(L170,#REF!,0)))</f>
        <v>#REF!</v>
      </c>
      <c r="L170" s="582">
        <v>387</v>
      </c>
      <c r="M170" s="602" t="e">
        <f>VLOOKUP(L170,#REF!,COLUMN(#REF!))</f>
        <v>#REF!</v>
      </c>
    </row>
    <row r="171" spans="1:13" ht="36">
      <c r="A171" s="583"/>
      <c r="B171" s="612" t="s">
        <v>686</v>
      </c>
      <c r="C171" s="570"/>
      <c r="D171" s="575" t="e">
        <f>VLOOKUP(L171,#REF!,COLUMN(#REF!))</f>
        <v>#REF!</v>
      </c>
      <c r="E171" s="587" t="e">
        <f>VLOOKUP(L171,#REF!,COLUMN(#REF!))</f>
        <v>#REF!</v>
      </c>
      <c r="F171" s="596"/>
      <c r="G171" s="597"/>
      <c r="H171" s="597"/>
      <c r="I171" s="590" t="e">
        <f>IF(ISNA(MATCH(K171,#REF!,0)),"нет такого кода",INDEX(#REF!,MATCH(K171,#REF!,0)))</f>
        <v>#REF!</v>
      </c>
      <c r="J171" s="598"/>
      <c r="K171" s="579" t="e">
        <f>IF(ISNA(MATCH(L171,#REF!,0)),"нет такого кода",INDEX(#REF!,MATCH(L171,#REF!,0)))</f>
        <v>#REF!</v>
      </c>
      <c r="L171" s="582">
        <v>391</v>
      </c>
      <c r="M171" s="602" t="e">
        <f>VLOOKUP(L171,#REF!,COLUMN(#REF!))</f>
        <v>#REF!</v>
      </c>
    </row>
    <row r="172" spans="1:13">
      <c r="A172" s="583"/>
      <c r="B172" s="612" t="s">
        <v>553</v>
      </c>
      <c r="C172" s="570"/>
      <c r="D172" s="575" t="e">
        <f>VLOOKUP(L172,#REF!,COLUMN(#REF!))</f>
        <v>#REF!</v>
      </c>
      <c r="E172" s="587" t="e">
        <f>VLOOKUP(L172,#REF!,COLUMN(#REF!))</f>
        <v>#REF!</v>
      </c>
      <c r="F172" s="596"/>
      <c r="G172" s="597"/>
      <c r="H172" s="597"/>
      <c r="I172" s="590" t="e">
        <f>IF(ISNA(MATCH(K172,#REF!,0)),"нет такого кода",INDEX(#REF!,MATCH(K172,#REF!,0)))</f>
        <v>#REF!</v>
      </c>
      <c r="J172" s="598"/>
      <c r="K172" s="579" t="e">
        <f>IF(ISNA(MATCH(L172,#REF!,0)),"нет такого кода",INDEX(#REF!,MATCH(L172,#REF!,0)))</f>
        <v>#REF!</v>
      </c>
      <c r="L172" s="582">
        <v>395</v>
      </c>
      <c r="M172" s="602" t="e">
        <f>VLOOKUP(L172,#REF!,COLUMN(#REF!))</f>
        <v>#REF!</v>
      </c>
    </row>
    <row r="173" spans="1:13" ht="24">
      <c r="A173" s="583"/>
      <c r="B173" s="612" t="s">
        <v>687</v>
      </c>
      <c r="C173" s="570"/>
      <c r="D173" s="575" t="e">
        <f>VLOOKUP(L173,#REF!,COLUMN(#REF!))</f>
        <v>#REF!</v>
      </c>
      <c r="E173" s="587" t="e">
        <f>VLOOKUP(L173,#REF!,COLUMN(#REF!))</f>
        <v>#REF!</v>
      </c>
      <c r="F173" s="596"/>
      <c r="G173" s="597"/>
      <c r="H173" s="597"/>
      <c r="I173" s="590" t="e">
        <f>IF(ISNA(MATCH(K173,#REF!,0)),"нет такого кода",INDEX(#REF!,MATCH(K173,#REF!,0)))</f>
        <v>#REF!</v>
      </c>
      <c r="J173" s="598"/>
      <c r="K173" s="579" t="e">
        <f>IF(ISNA(MATCH(L173,#REF!,0)),"нет такого кода",INDEX(#REF!,MATCH(L173,#REF!,0)))</f>
        <v>#REF!</v>
      </c>
      <c r="L173" s="582">
        <v>399</v>
      </c>
      <c r="M173" s="602" t="e">
        <f>VLOOKUP(L173,#REF!,COLUMN(#REF!))</f>
        <v>#REF!</v>
      </c>
    </row>
    <row r="174" spans="1:13" ht="24">
      <c r="A174" s="583"/>
      <c r="B174" s="612" t="s">
        <v>688</v>
      </c>
      <c r="C174" s="570"/>
      <c r="D174" s="575" t="e">
        <f>VLOOKUP(L174,#REF!,COLUMN(#REF!))</f>
        <v>#REF!</v>
      </c>
      <c r="E174" s="587" t="e">
        <f>VLOOKUP(L174,#REF!,COLUMN(#REF!))</f>
        <v>#REF!</v>
      </c>
      <c r="F174" s="596"/>
      <c r="G174" s="597"/>
      <c r="H174" s="597"/>
      <c r="I174" s="590" t="e">
        <f>IF(ISNA(MATCH(K174,#REF!,0)),"нет такого кода",INDEX(#REF!,MATCH(K174,#REF!,0)))</f>
        <v>#REF!</v>
      </c>
      <c r="J174" s="598"/>
      <c r="K174" s="579" t="e">
        <f>IF(ISNA(MATCH(L174,#REF!,0)),"нет такого кода",INDEX(#REF!,MATCH(L174,#REF!,0)))</f>
        <v>#REF!</v>
      </c>
      <c r="L174" s="582">
        <v>401</v>
      </c>
      <c r="M174" s="602" t="e">
        <f>VLOOKUP(L174,#REF!,COLUMN(#REF!))</f>
        <v>#REF!</v>
      </c>
    </row>
    <row r="175" spans="1:13" ht="24">
      <c r="A175" s="583"/>
      <c r="B175" s="612" t="s">
        <v>689</v>
      </c>
      <c r="C175" s="570"/>
      <c r="D175" s="575" t="e">
        <f>VLOOKUP(L175,#REF!,COLUMN(#REF!))</f>
        <v>#REF!</v>
      </c>
      <c r="E175" s="587" t="e">
        <f>VLOOKUP(L175,#REF!,COLUMN(#REF!))</f>
        <v>#REF!</v>
      </c>
      <c r="F175" s="596"/>
      <c r="G175" s="597"/>
      <c r="H175" s="597"/>
      <c r="I175" s="590" t="e">
        <f>IF(ISNA(MATCH(K175,#REF!,0)),"нет такого кода",INDEX(#REF!,MATCH(K175,#REF!,0)))</f>
        <v>#REF!</v>
      </c>
      <c r="J175" s="598"/>
      <c r="K175" s="579" t="e">
        <f>IF(ISNA(MATCH(L175,#REF!,0)),"нет такого кода",INDEX(#REF!,MATCH(L175,#REF!,0)))</f>
        <v>#REF!</v>
      </c>
      <c r="L175" s="582">
        <v>403</v>
      </c>
      <c r="M175" s="602" t="e">
        <f>VLOOKUP(L175,#REF!,COLUMN(#REF!))</f>
        <v>#REF!</v>
      </c>
    </row>
    <row r="176" spans="1:13" ht="24">
      <c r="A176" s="583"/>
      <c r="B176" s="612" t="s">
        <v>690</v>
      </c>
      <c r="C176" s="570"/>
      <c r="D176" s="575" t="e">
        <f>VLOOKUP(L176,#REF!,COLUMN(#REF!))</f>
        <v>#REF!</v>
      </c>
      <c r="E176" s="587" t="e">
        <f>VLOOKUP(L176,#REF!,COLUMN(#REF!))</f>
        <v>#REF!</v>
      </c>
      <c r="F176" s="596"/>
      <c r="G176" s="597"/>
      <c r="H176" s="597"/>
      <c r="I176" s="590" t="e">
        <f>IF(ISNA(MATCH(K176,#REF!,0)),"нет такого кода",INDEX(#REF!,MATCH(K176,#REF!,0)))</f>
        <v>#REF!</v>
      </c>
      <c r="J176" s="598"/>
      <c r="K176" s="579" t="e">
        <f>IF(ISNA(MATCH(L176,#REF!,0)),"нет такого кода",INDEX(#REF!,MATCH(L176,#REF!,0)))</f>
        <v>#REF!</v>
      </c>
      <c r="L176" s="582">
        <v>405</v>
      </c>
      <c r="M176" s="602" t="e">
        <f>VLOOKUP(L176,#REF!,COLUMN(#REF!))</f>
        <v>#REF!</v>
      </c>
    </row>
    <row r="177" spans="1:13" ht="24">
      <c r="A177" s="583"/>
      <c r="B177" s="612" t="s">
        <v>691</v>
      </c>
      <c r="C177" s="570"/>
      <c r="D177" s="575" t="e">
        <f>VLOOKUP(L177,#REF!,COLUMN(#REF!))</f>
        <v>#REF!</v>
      </c>
      <c r="E177" s="587" t="e">
        <f>VLOOKUP(L177,#REF!,COLUMN(#REF!))</f>
        <v>#REF!</v>
      </c>
      <c r="F177" s="596"/>
      <c r="G177" s="597"/>
      <c r="H177" s="597"/>
      <c r="I177" s="590" t="e">
        <f>IF(ISNA(MATCH(K177,#REF!,0)),"нет такого кода",INDEX(#REF!,MATCH(K177,#REF!,0)))</f>
        <v>#REF!</v>
      </c>
      <c r="J177" s="598"/>
      <c r="K177" s="579" t="e">
        <f>IF(ISNA(MATCH(L177,#REF!,0)),"нет такого кода",INDEX(#REF!,MATCH(L177,#REF!,0)))</f>
        <v>#REF!</v>
      </c>
      <c r="L177" s="582">
        <v>407</v>
      </c>
      <c r="M177" s="602" t="e">
        <f>VLOOKUP(L177,#REF!,COLUMN(#REF!))</f>
        <v>#REF!</v>
      </c>
    </row>
    <row r="178" spans="1:13" ht="24">
      <c r="A178" s="583"/>
      <c r="B178" s="612" t="s">
        <v>692</v>
      </c>
      <c r="C178" s="570"/>
      <c r="D178" s="575" t="e">
        <f>VLOOKUP(L178,#REF!,COLUMN(#REF!))</f>
        <v>#REF!</v>
      </c>
      <c r="E178" s="587" t="e">
        <f>VLOOKUP(L178,#REF!,COLUMN(#REF!))</f>
        <v>#REF!</v>
      </c>
      <c r="F178" s="596"/>
      <c r="G178" s="597"/>
      <c r="H178" s="597"/>
      <c r="I178" s="590" t="e">
        <f>IF(ISNA(MATCH(K178,#REF!,0)),"нет такого кода",INDEX(#REF!,MATCH(K178,#REF!,0)))</f>
        <v>#REF!</v>
      </c>
      <c r="J178" s="598"/>
      <c r="K178" s="579" t="e">
        <f>IF(ISNA(MATCH(L178,#REF!,0)),"нет такого кода",INDEX(#REF!,MATCH(L178,#REF!,0)))</f>
        <v>#REF!</v>
      </c>
      <c r="L178" s="582">
        <v>409</v>
      </c>
      <c r="M178" s="602" t="e">
        <f>VLOOKUP(L178,#REF!,COLUMN(#REF!))</f>
        <v>#REF!</v>
      </c>
    </row>
    <row r="179" spans="1:13" ht="24">
      <c r="A179" s="583"/>
      <c r="B179" s="612" t="s">
        <v>693</v>
      </c>
      <c r="C179" s="570"/>
      <c r="D179" s="575" t="e">
        <f>VLOOKUP(L179,#REF!,COLUMN(#REF!))</f>
        <v>#REF!</v>
      </c>
      <c r="E179" s="587" t="e">
        <f>VLOOKUP(L179,#REF!,COLUMN(#REF!))</f>
        <v>#REF!</v>
      </c>
      <c r="F179" s="596"/>
      <c r="G179" s="597"/>
      <c r="H179" s="597"/>
      <c r="I179" s="590" t="e">
        <f>IF(ISNA(MATCH(K179,#REF!,0)),"нет такого кода",INDEX(#REF!,MATCH(K179,#REF!,0)))</f>
        <v>#REF!</v>
      </c>
      <c r="J179" s="598"/>
      <c r="K179" s="579" t="e">
        <f>IF(ISNA(MATCH(L179,#REF!,0)),"нет такого кода",INDEX(#REF!,MATCH(L179,#REF!,0)))</f>
        <v>#REF!</v>
      </c>
      <c r="L179" s="582">
        <v>411</v>
      </c>
      <c r="M179" s="602" t="e">
        <f>VLOOKUP(L179,#REF!,COLUMN(#REF!))</f>
        <v>#REF!</v>
      </c>
    </row>
    <row r="180" spans="1:13" ht="24">
      <c r="A180" s="583"/>
      <c r="B180" s="612" t="s">
        <v>694</v>
      </c>
      <c r="C180" s="570"/>
      <c r="D180" s="575" t="e">
        <f>VLOOKUP(L180,#REF!,COLUMN(#REF!))</f>
        <v>#REF!</v>
      </c>
      <c r="E180" s="587" t="e">
        <f>VLOOKUP(L180,#REF!,COLUMN(#REF!))</f>
        <v>#REF!</v>
      </c>
      <c r="F180" s="596"/>
      <c r="G180" s="597"/>
      <c r="H180" s="597"/>
      <c r="I180" s="590" t="e">
        <f>IF(ISNA(MATCH(K180,#REF!,0)),"нет такого кода",INDEX(#REF!,MATCH(K180,#REF!,0)))</f>
        <v>#REF!</v>
      </c>
      <c r="J180" s="598"/>
      <c r="K180" s="579" t="e">
        <f>IF(ISNA(MATCH(L180,#REF!,0)),"нет такого кода",INDEX(#REF!,MATCH(L180,#REF!,0)))</f>
        <v>#REF!</v>
      </c>
      <c r="L180" s="582">
        <v>413</v>
      </c>
      <c r="M180" s="602" t="e">
        <f>VLOOKUP(L180,#REF!,COLUMN(#REF!))</f>
        <v>#REF!</v>
      </c>
    </row>
    <row r="181" spans="1:13" ht="24">
      <c r="A181" s="583"/>
      <c r="B181" s="612" t="s">
        <v>695</v>
      </c>
      <c r="C181" s="570"/>
      <c r="D181" s="575" t="e">
        <f>VLOOKUP(L181,#REF!,COLUMN(#REF!))</f>
        <v>#REF!</v>
      </c>
      <c r="E181" s="587" t="e">
        <f>VLOOKUP(L181,#REF!,COLUMN(#REF!))</f>
        <v>#REF!</v>
      </c>
      <c r="F181" s="596"/>
      <c r="G181" s="597"/>
      <c r="H181" s="597"/>
      <c r="I181" s="590" t="e">
        <f>IF(ISNA(MATCH(K181,#REF!,0)),"нет такого кода",INDEX(#REF!,MATCH(K181,#REF!,0)))</f>
        <v>#REF!</v>
      </c>
      <c r="J181" s="598"/>
      <c r="K181" s="579" t="e">
        <f>IF(ISNA(MATCH(L181,#REF!,0)),"нет такого кода",INDEX(#REF!,MATCH(L181,#REF!,0)))</f>
        <v>#REF!</v>
      </c>
      <c r="L181" s="582">
        <v>415</v>
      </c>
      <c r="M181" s="602" t="e">
        <f>VLOOKUP(L181,#REF!,COLUMN(#REF!))</f>
        <v>#REF!</v>
      </c>
    </row>
    <row r="182" spans="1:13" ht="24">
      <c r="A182" s="583"/>
      <c r="B182" s="612" t="s">
        <v>696</v>
      </c>
      <c r="C182" s="570"/>
      <c r="D182" s="575" t="e">
        <f>VLOOKUP(L182,#REF!,COLUMN(#REF!))</f>
        <v>#REF!</v>
      </c>
      <c r="E182" s="587" t="e">
        <f>VLOOKUP(L182,#REF!,COLUMN(#REF!))</f>
        <v>#REF!</v>
      </c>
      <c r="F182" s="596"/>
      <c r="G182" s="597"/>
      <c r="H182" s="597"/>
      <c r="I182" s="590" t="e">
        <f>IF(ISNA(MATCH(K182,#REF!,0)),"нет такого кода",INDEX(#REF!,MATCH(K182,#REF!,0)))</f>
        <v>#REF!</v>
      </c>
      <c r="J182" s="598"/>
      <c r="K182" s="579" t="e">
        <f>IF(ISNA(MATCH(L182,#REF!,0)),"нет такого кода",INDEX(#REF!,MATCH(L182,#REF!,0)))</f>
        <v>#REF!</v>
      </c>
      <c r="L182" s="582">
        <v>417</v>
      </c>
      <c r="M182" s="602" t="e">
        <f>VLOOKUP(L182,#REF!,COLUMN(#REF!))</f>
        <v>#REF!</v>
      </c>
    </row>
    <row r="183" spans="1:13" ht="24">
      <c r="A183" s="583"/>
      <c r="B183" s="593" t="s">
        <v>697</v>
      </c>
      <c r="C183" s="570"/>
      <c r="D183" s="575" t="e">
        <f>VLOOKUP(L183,#REF!,COLUMN(#REF!))</f>
        <v>#REF!</v>
      </c>
      <c r="E183" s="587" t="e">
        <f>VLOOKUP(L183,#REF!,COLUMN(#REF!))</f>
        <v>#REF!</v>
      </c>
      <c r="F183" s="596"/>
      <c r="G183" s="597"/>
      <c r="H183" s="597"/>
      <c r="I183" s="590" t="e">
        <f>IF(ISNA(MATCH(K183,#REF!,0)),"нет такого кода",INDEX(#REF!,MATCH(K183,#REF!,0)))</f>
        <v>#REF!</v>
      </c>
      <c r="J183" s="598"/>
      <c r="K183" s="579" t="e">
        <f>IF(ISNA(MATCH(L183,#REF!,0)),"нет такого кода",INDEX(#REF!,MATCH(L183,#REF!,0)))</f>
        <v>#REF!</v>
      </c>
      <c r="L183" s="582">
        <v>419</v>
      </c>
      <c r="M183" s="602" t="e">
        <f>VLOOKUP(L183,#REF!,COLUMN(#REF!))</f>
        <v>#REF!</v>
      </c>
    </row>
    <row r="184" spans="1:13" ht="24">
      <c r="A184" s="583"/>
      <c r="B184" s="593" t="s">
        <v>698</v>
      </c>
      <c r="C184" s="570"/>
      <c r="D184" s="575" t="e">
        <f>VLOOKUP(L184,#REF!,COLUMN(#REF!))</f>
        <v>#REF!</v>
      </c>
      <c r="E184" s="587" t="e">
        <f>VLOOKUP(L184,#REF!,COLUMN(#REF!))</f>
        <v>#REF!</v>
      </c>
      <c r="F184" s="596"/>
      <c r="G184" s="597"/>
      <c r="H184" s="597"/>
      <c r="I184" s="590" t="e">
        <f>IF(ISNA(MATCH(K184,#REF!,0)),"нет такого кода",INDEX(#REF!,MATCH(K184,#REF!,0)))</f>
        <v>#REF!</v>
      </c>
      <c r="J184" s="598"/>
      <c r="K184" s="579" t="e">
        <f>IF(ISNA(MATCH(L184,#REF!,0)),"нет такого кода",INDEX(#REF!,MATCH(L184,#REF!,0)))</f>
        <v>#REF!</v>
      </c>
      <c r="L184" s="582">
        <v>421</v>
      </c>
      <c r="M184" s="602" t="e">
        <f>VLOOKUP(L184,#REF!,COLUMN(#REF!))</f>
        <v>#REF!</v>
      </c>
    </row>
    <row r="185" spans="1:13" ht="24">
      <c r="A185" s="583"/>
      <c r="B185" s="593" t="s">
        <v>699</v>
      </c>
      <c r="C185" s="570"/>
      <c r="D185" s="575" t="e">
        <f>VLOOKUP(L185,#REF!,COLUMN(#REF!))</f>
        <v>#REF!</v>
      </c>
      <c r="E185" s="587" t="e">
        <f>VLOOKUP(L185,#REF!,COLUMN(#REF!))</f>
        <v>#REF!</v>
      </c>
      <c r="F185" s="596"/>
      <c r="G185" s="597"/>
      <c r="H185" s="597"/>
      <c r="I185" s="590" t="e">
        <f>IF(ISNA(MATCH(K185,#REF!,0)),"нет такого кода",INDEX(#REF!,MATCH(K185,#REF!,0)))</f>
        <v>#REF!</v>
      </c>
      <c r="J185" s="598"/>
      <c r="K185" s="579" t="e">
        <f>IF(ISNA(MATCH(L185,#REF!,0)),"нет такого кода",INDEX(#REF!,MATCH(L185,#REF!,0)))</f>
        <v>#REF!</v>
      </c>
      <c r="L185" s="582">
        <v>423</v>
      </c>
      <c r="M185" s="602" t="e">
        <f>VLOOKUP(L185,#REF!,COLUMN(#REF!))</f>
        <v>#REF!</v>
      </c>
    </row>
    <row r="186" spans="1:13" ht="24">
      <c r="A186" s="583"/>
      <c r="B186" s="593" t="s">
        <v>700</v>
      </c>
      <c r="C186" s="570"/>
      <c r="D186" s="575" t="e">
        <f>VLOOKUP(L186,#REF!,COLUMN(#REF!))</f>
        <v>#REF!</v>
      </c>
      <c r="E186" s="587" t="e">
        <f>VLOOKUP(L186,#REF!,COLUMN(#REF!))</f>
        <v>#REF!</v>
      </c>
      <c r="F186" s="596"/>
      <c r="G186" s="597"/>
      <c r="H186" s="597"/>
      <c r="I186" s="590" t="e">
        <f>IF(ISNA(MATCH(K186,#REF!,0)),"нет такого кода",INDEX(#REF!,MATCH(K186,#REF!,0)))</f>
        <v>#REF!</v>
      </c>
      <c r="J186" s="598"/>
      <c r="K186" s="579" t="e">
        <f>IF(ISNA(MATCH(L186,#REF!,0)),"нет такого кода",INDEX(#REF!,MATCH(L186,#REF!,0)))</f>
        <v>#REF!</v>
      </c>
      <c r="L186" s="582">
        <v>425</v>
      </c>
      <c r="M186" s="602" t="e">
        <f>VLOOKUP(L186,#REF!,COLUMN(#REF!))</f>
        <v>#REF!</v>
      </c>
    </row>
    <row r="187" spans="1:13" ht="24">
      <c r="A187" s="583"/>
      <c r="B187" s="593" t="s">
        <v>701</v>
      </c>
      <c r="C187" s="570"/>
      <c r="D187" s="575" t="e">
        <f>VLOOKUP(L187,#REF!,COLUMN(#REF!))</f>
        <v>#REF!</v>
      </c>
      <c r="E187" s="587" t="e">
        <f>VLOOKUP(L187,#REF!,COLUMN(#REF!))</f>
        <v>#REF!</v>
      </c>
      <c r="F187" s="596"/>
      <c r="G187" s="597"/>
      <c r="H187" s="597"/>
      <c r="I187" s="590" t="e">
        <f>IF(ISNA(MATCH(K187,#REF!,0)),"нет такого кода",INDEX(#REF!,MATCH(K187,#REF!,0)))</f>
        <v>#REF!</v>
      </c>
      <c r="J187" s="598"/>
      <c r="K187" s="579" t="e">
        <f>IF(ISNA(MATCH(L187,#REF!,0)),"нет такого кода",INDEX(#REF!,MATCH(L187,#REF!,0)))</f>
        <v>#REF!</v>
      </c>
      <c r="L187" s="582">
        <v>47</v>
      </c>
      <c r="M187" s="602" t="e">
        <f>VLOOKUP(L187,#REF!,COLUMN(#REF!))</f>
        <v>#REF!</v>
      </c>
    </row>
    <row r="188" spans="1:13" ht="24">
      <c r="A188" s="583"/>
      <c r="B188" s="593" t="s">
        <v>702</v>
      </c>
      <c r="C188" s="570"/>
      <c r="D188" s="575" t="e">
        <f>VLOOKUP(L188,#REF!,COLUMN(#REF!))</f>
        <v>#REF!</v>
      </c>
      <c r="E188" s="587" t="e">
        <f>VLOOKUP(L188,#REF!,COLUMN(#REF!))</f>
        <v>#REF!</v>
      </c>
      <c r="F188" s="596"/>
      <c r="G188" s="597"/>
      <c r="H188" s="597"/>
      <c r="I188" s="590" t="e">
        <f>IF(ISNA(MATCH(K188,#REF!,0)),"нет такого кода",INDEX(#REF!,MATCH(K188,#REF!,0)))</f>
        <v>#REF!</v>
      </c>
      <c r="J188" s="598"/>
      <c r="K188" s="579" t="e">
        <f>IF(ISNA(MATCH(L188,#REF!,0)),"нет такого кода",INDEX(#REF!,MATCH(L188,#REF!,0)))</f>
        <v>#REF!</v>
      </c>
      <c r="L188" s="582">
        <v>431</v>
      </c>
      <c r="M188" s="602" t="e">
        <f>VLOOKUP(L188,#REF!,COLUMN(#REF!))</f>
        <v>#REF!</v>
      </c>
    </row>
    <row r="189" spans="1:13" ht="24">
      <c r="A189" s="583"/>
      <c r="B189" s="593" t="s">
        <v>703</v>
      </c>
      <c r="C189" s="570"/>
      <c r="D189" s="575" t="e">
        <f>VLOOKUP(L189,#REF!,COLUMN(#REF!))</f>
        <v>#REF!</v>
      </c>
      <c r="E189" s="587" t="e">
        <f>VLOOKUP(L189,#REF!,COLUMN(#REF!))</f>
        <v>#REF!</v>
      </c>
      <c r="F189" s="596"/>
      <c r="G189" s="597"/>
      <c r="H189" s="597"/>
      <c r="I189" s="590" t="e">
        <f>IF(ISNA(MATCH(K189,#REF!,0)),"нет такого кода",INDEX(#REF!,MATCH(K189,#REF!,0)))</f>
        <v>#REF!</v>
      </c>
      <c r="J189" s="598"/>
      <c r="K189" s="579" t="e">
        <f>IF(ISNA(MATCH(L189,#REF!,0)),"нет такого кода",INDEX(#REF!,MATCH(L189,#REF!,0)))</f>
        <v>#REF!</v>
      </c>
      <c r="L189" s="582">
        <v>435</v>
      </c>
      <c r="M189" s="602" t="e">
        <f>VLOOKUP(L189,#REF!,COLUMN(#REF!))</f>
        <v>#REF!</v>
      </c>
    </row>
    <row r="190" spans="1:13" ht="24">
      <c r="A190" s="583"/>
      <c r="B190" s="593" t="s">
        <v>704</v>
      </c>
      <c r="C190" s="570"/>
      <c r="D190" s="575" t="e">
        <f>VLOOKUP(L190,#REF!,COLUMN(#REF!))</f>
        <v>#REF!</v>
      </c>
      <c r="E190" s="587" t="e">
        <f>VLOOKUP(L190,#REF!,COLUMN(#REF!))</f>
        <v>#REF!</v>
      </c>
      <c r="F190" s="596"/>
      <c r="G190" s="597"/>
      <c r="H190" s="597"/>
      <c r="I190" s="590" t="e">
        <f>IF(ISNA(MATCH(K190,#REF!,0)),"нет такого кода",INDEX(#REF!,MATCH(K190,#REF!,0)))</f>
        <v>#REF!</v>
      </c>
      <c r="J190" s="598"/>
      <c r="K190" s="579" t="e">
        <f>IF(ISNA(MATCH(L190,#REF!,0)),"нет такого кода",INDEX(#REF!,MATCH(L190,#REF!,0)))</f>
        <v>#REF!</v>
      </c>
      <c r="L190" s="582">
        <v>439</v>
      </c>
      <c r="M190" s="602" t="e">
        <f>VLOOKUP(L190,#REF!,COLUMN(#REF!))</f>
        <v>#REF!</v>
      </c>
    </row>
    <row r="191" spans="1:13" ht="24">
      <c r="A191" s="583"/>
      <c r="B191" s="593" t="s">
        <v>705</v>
      </c>
      <c r="C191" s="570"/>
      <c r="D191" s="575" t="e">
        <f>VLOOKUP(L191,#REF!,COLUMN(#REF!))</f>
        <v>#REF!</v>
      </c>
      <c r="E191" s="587" t="e">
        <f>VLOOKUP(L191,#REF!,COLUMN(#REF!))</f>
        <v>#REF!</v>
      </c>
      <c r="F191" s="596"/>
      <c r="G191" s="597"/>
      <c r="H191" s="597"/>
      <c r="I191" s="590" t="e">
        <f>IF(ISNA(MATCH(K191,#REF!,0)),"нет такого кода",INDEX(#REF!,MATCH(K191,#REF!,0)))</f>
        <v>#REF!</v>
      </c>
      <c r="J191" s="598"/>
      <c r="K191" s="579" t="e">
        <f>IF(ISNA(MATCH(L191,#REF!,0)),"нет такого кода",INDEX(#REF!,MATCH(L191,#REF!,0)))</f>
        <v>#REF!</v>
      </c>
      <c r="L191" s="582">
        <v>443</v>
      </c>
      <c r="M191" s="602" t="e">
        <f>VLOOKUP(L191,#REF!,COLUMN(#REF!))</f>
        <v>#REF!</v>
      </c>
    </row>
    <row r="192" spans="1:13" ht="24">
      <c r="A192" s="583"/>
      <c r="B192" s="593" t="s">
        <v>706</v>
      </c>
      <c r="C192" s="570"/>
      <c r="D192" s="575" t="e">
        <f>VLOOKUP(L192,#REF!,COLUMN(#REF!))</f>
        <v>#REF!</v>
      </c>
      <c r="E192" s="587" t="e">
        <f>VLOOKUP(L192,#REF!,COLUMN(#REF!))</f>
        <v>#REF!</v>
      </c>
      <c r="F192" s="596"/>
      <c r="G192" s="597"/>
      <c r="H192" s="597"/>
      <c r="I192" s="590" t="e">
        <f>IF(ISNA(MATCH(K192,#REF!,0)),"нет такого кода",INDEX(#REF!,MATCH(K192,#REF!,0)))</f>
        <v>#REF!</v>
      </c>
      <c r="J192" s="598"/>
      <c r="K192" s="579" t="e">
        <f>IF(ISNA(MATCH(L192,#REF!,0)),"нет такого кода",INDEX(#REF!,MATCH(L192,#REF!,0)))</f>
        <v>#REF!</v>
      </c>
      <c r="L192" s="582">
        <v>447</v>
      </c>
      <c r="M192" s="602" t="e">
        <f>VLOOKUP(L192,#REF!,COLUMN(#REF!))</f>
        <v>#REF!</v>
      </c>
    </row>
    <row r="193" spans="1:13" ht="24">
      <c r="A193" s="583"/>
      <c r="B193" s="593" t="s">
        <v>707</v>
      </c>
      <c r="C193" s="570"/>
      <c r="D193" s="575" t="e">
        <f>VLOOKUP(L193,#REF!,COLUMN(#REF!))</f>
        <v>#REF!</v>
      </c>
      <c r="E193" s="587" t="e">
        <f>VLOOKUP(L193,#REF!,COLUMN(#REF!))</f>
        <v>#REF!</v>
      </c>
      <c r="F193" s="596"/>
      <c r="G193" s="597"/>
      <c r="H193" s="597"/>
      <c r="I193" s="590" t="e">
        <f>IF(ISNA(MATCH(K193,#REF!,0)),"нет такого кода",INDEX(#REF!,MATCH(K193,#REF!,0)))</f>
        <v>#REF!</v>
      </c>
      <c r="J193" s="598"/>
      <c r="K193" s="579" t="e">
        <f>IF(ISNA(MATCH(L193,#REF!,0)),"нет такого кода",INDEX(#REF!,MATCH(L193,#REF!,0)))</f>
        <v>#REF!</v>
      </c>
      <c r="L193" s="582">
        <v>451</v>
      </c>
      <c r="M193" s="602" t="e">
        <f>VLOOKUP(L193,#REF!,COLUMN(#REF!))</f>
        <v>#REF!</v>
      </c>
    </row>
    <row r="194" spans="1:13" ht="24">
      <c r="A194" s="583"/>
      <c r="B194" s="593" t="s">
        <v>708</v>
      </c>
      <c r="C194" s="570"/>
      <c r="D194" s="575" t="e">
        <f>VLOOKUP(L194,#REF!,COLUMN(#REF!))</f>
        <v>#REF!</v>
      </c>
      <c r="E194" s="587" t="e">
        <f>VLOOKUP(L194,#REF!,COLUMN(#REF!))</f>
        <v>#REF!</v>
      </c>
      <c r="F194" s="596"/>
      <c r="G194" s="597"/>
      <c r="H194" s="597"/>
      <c r="I194" s="590" t="e">
        <f>IF(ISNA(MATCH(K194,#REF!,0)),"нет такого кода",INDEX(#REF!,MATCH(K194,#REF!,0)))</f>
        <v>#REF!</v>
      </c>
      <c r="J194" s="598"/>
      <c r="K194" s="579" t="e">
        <f>IF(ISNA(MATCH(L194,#REF!,0)),"нет такого кода",INDEX(#REF!,MATCH(L194,#REF!,0)))</f>
        <v>#REF!</v>
      </c>
      <c r="L194" s="582">
        <v>455</v>
      </c>
      <c r="M194" s="602" t="e">
        <f>VLOOKUP(L194,#REF!,COLUMN(#REF!))</f>
        <v>#REF!</v>
      </c>
    </row>
    <row r="195" spans="1:13">
      <c r="A195" s="583"/>
      <c r="B195" s="593" t="s">
        <v>709</v>
      </c>
      <c r="C195" s="570"/>
      <c r="D195" s="575" t="e">
        <f>VLOOKUP(L195,#REF!,COLUMN(#REF!))</f>
        <v>#REF!</v>
      </c>
      <c r="E195" s="587" t="e">
        <f>VLOOKUP(L195,#REF!,COLUMN(#REF!))</f>
        <v>#REF!</v>
      </c>
      <c r="F195" s="596"/>
      <c r="G195" s="597"/>
      <c r="H195" s="597"/>
      <c r="I195" s="590" t="e">
        <f>IF(ISNA(MATCH(K195,#REF!,0)),"нет такого кода",INDEX(#REF!,MATCH(K195,#REF!,0)))</f>
        <v>#REF!</v>
      </c>
      <c r="J195" s="598"/>
      <c r="K195" s="579" t="e">
        <f>IF(ISNA(MATCH(L195,#REF!,0)),"нет такого кода",INDEX(#REF!,MATCH(L195,#REF!,0)))</f>
        <v>#REF!</v>
      </c>
      <c r="L195" s="582">
        <v>459</v>
      </c>
      <c r="M195" s="602" t="e">
        <f>VLOOKUP(L195,#REF!,COLUMN(#REF!))</f>
        <v>#REF!</v>
      </c>
    </row>
    <row r="196" spans="1:13">
      <c r="A196" s="583"/>
      <c r="B196" s="593" t="s">
        <v>710</v>
      </c>
      <c r="C196" s="570"/>
      <c r="D196" s="575" t="e">
        <f>VLOOKUP(L196,#REF!,COLUMN(#REF!))</f>
        <v>#REF!</v>
      </c>
      <c r="E196" s="587" t="e">
        <f>VLOOKUP(L196,#REF!,COLUMN(#REF!))</f>
        <v>#REF!</v>
      </c>
      <c r="F196" s="596"/>
      <c r="G196" s="597"/>
      <c r="H196" s="597"/>
      <c r="I196" s="590" t="e">
        <f>IF(ISNA(MATCH(K196,#REF!,0)),"нет такого кода",INDEX(#REF!,MATCH(K196,#REF!,0)))</f>
        <v>#REF!</v>
      </c>
      <c r="J196" s="598"/>
      <c r="K196" s="579" t="e">
        <f>IF(ISNA(MATCH(L196,#REF!,0)),"нет такого кода",INDEX(#REF!,MATCH(L196,#REF!,0)))</f>
        <v>#REF!</v>
      </c>
      <c r="L196" s="582">
        <v>464</v>
      </c>
      <c r="M196" s="602" t="e">
        <f>VLOOKUP(L196,#REF!,COLUMN(#REF!))</f>
        <v>#REF!</v>
      </c>
    </row>
    <row r="197" spans="1:13">
      <c r="A197" s="583"/>
      <c r="B197" s="593" t="s">
        <v>711</v>
      </c>
      <c r="C197" s="570"/>
      <c r="D197" s="575" t="e">
        <f>VLOOKUP(L197,#REF!,COLUMN(#REF!))</f>
        <v>#REF!</v>
      </c>
      <c r="E197" s="587" t="e">
        <f>VLOOKUP(L197,#REF!,COLUMN(#REF!))</f>
        <v>#REF!</v>
      </c>
      <c r="F197" s="596"/>
      <c r="G197" s="597"/>
      <c r="H197" s="597"/>
      <c r="I197" s="590" t="e">
        <f>IF(ISNA(MATCH(K197,#REF!,0)),"нет такого кода",INDEX(#REF!,MATCH(K197,#REF!,0)))</f>
        <v>#REF!</v>
      </c>
      <c r="J197" s="598"/>
      <c r="K197" s="579" t="e">
        <f>IF(ISNA(MATCH(L197,#REF!,0)),"нет такого кода",INDEX(#REF!,MATCH(L197,#REF!,0)))</f>
        <v>#REF!</v>
      </c>
      <c r="L197" s="582">
        <v>469</v>
      </c>
      <c r="M197" s="602" t="e">
        <f>VLOOKUP(L197,#REF!,COLUMN(#REF!))</f>
        <v>#REF!</v>
      </c>
    </row>
    <row r="198" spans="1:13">
      <c r="A198" s="583"/>
      <c r="B198" s="593" t="s">
        <v>712</v>
      </c>
      <c r="C198" s="570"/>
      <c r="D198" s="575" t="e">
        <f>VLOOKUP(L198,#REF!,COLUMN(#REF!))</f>
        <v>#REF!</v>
      </c>
      <c r="E198" s="587" t="e">
        <f>VLOOKUP(L198,#REF!,COLUMN(#REF!))</f>
        <v>#REF!</v>
      </c>
      <c r="F198" s="596"/>
      <c r="G198" s="597"/>
      <c r="H198" s="597"/>
      <c r="I198" s="590" t="e">
        <f>IF(ISNA(MATCH(K198,#REF!,0)),"нет такого кода",INDEX(#REF!,MATCH(K198,#REF!,0)))</f>
        <v>#REF!</v>
      </c>
      <c r="J198" s="598"/>
      <c r="K198" s="579" t="e">
        <f>IF(ISNA(MATCH(L198,#REF!,0)),"нет такого кода",INDEX(#REF!,MATCH(L198,#REF!,0)))</f>
        <v>#REF!</v>
      </c>
      <c r="L198" s="582">
        <v>471</v>
      </c>
      <c r="M198" s="602" t="e">
        <f>VLOOKUP(L198,#REF!,COLUMN(#REF!))</f>
        <v>#REF!</v>
      </c>
    </row>
    <row r="199" spans="1:13">
      <c r="A199" s="583"/>
      <c r="B199" s="593" t="s">
        <v>714</v>
      </c>
      <c r="C199" s="570"/>
      <c r="D199" s="575" t="e">
        <f>VLOOKUP(L199,#REF!,COLUMN(#REF!))</f>
        <v>#REF!</v>
      </c>
      <c r="E199" s="587" t="e">
        <f>VLOOKUP(L199,#REF!,COLUMN(#REF!))</f>
        <v>#REF!</v>
      </c>
      <c r="F199" s="596"/>
      <c r="G199" s="597"/>
      <c r="H199" s="597"/>
      <c r="I199" s="590" t="e">
        <f>IF(ISNA(MATCH(K199,#REF!,0)),"нет такого кода",INDEX(#REF!,MATCH(K199,#REF!,0)))</f>
        <v>#REF!</v>
      </c>
      <c r="J199" s="598"/>
      <c r="K199" s="579" t="e">
        <f>IF(ISNA(MATCH(L199,#REF!,0)),"нет такого кода",INDEX(#REF!,MATCH(L199,#REF!,0)))</f>
        <v>#REF!</v>
      </c>
      <c r="L199" s="582">
        <v>474</v>
      </c>
      <c r="M199" s="602" t="e">
        <f>VLOOKUP(L199,#REF!,COLUMN(#REF!))</f>
        <v>#REF!</v>
      </c>
    </row>
    <row r="200" spans="1:13">
      <c r="A200" s="583"/>
      <c r="B200" s="593" t="s">
        <v>713</v>
      </c>
      <c r="C200" s="570"/>
      <c r="D200" s="575" t="e">
        <f>VLOOKUP(L200,#REF!,COLUMN(#REF!))</f>
        <v>#REF!</v>
      </c>
      <c r="E200" s="587" t="e">
        <f>VLOOKUP(L200,#REF!,COLUMN(#REF!))</f>
        <v>#REF!</v>
      </c>
      <c r="F200" s="596"/>
      <c r="G200" s="597"/>
      <c r="H200" s="597"/>
      <c r="I200" s="590" t="e">
        <f>IF(ISNA(MATCH(K200,#REF!,0)),"нет такого кода",INDEX(#REF!,MATCH(K200,#REF!,0)))</f>
        <v>#REF!</v>
      </c>
      <c r="J200" s="598"/>
      <c r="K200" s="579" t="e">
        <f>IF(ISNA(MATCH(L200,#REF!,0)),"нет такого кода",INDEX(#REF!,MATCH(L200,#REF!,0)))</f>
        <v>#REF!</v>
      </c>
      <c r="L200" s="582">
        <v>478</v>
      </c>
      <c r="M200" s="602" t="e">
        <f>VLOOKUP(L200,#REF!,COLUMN(#REF!))</f>
        <v>#REF!</v>
      </c>
    </row>
    <row r="201" spans="1:13">
      <c r="A201" s="583"/>
      <c r="B201" s="567"/>
      <c r="C201" s="570"/>
      <c r="D201" s="571"/>
      <c r="E201" s="571"/>
      <c r="F201" s="580"/>
      <c r="G201" s="577"/>
      <c r="H201" s="577"/>
      <c r="I201" s="576"/>
      <c r="J201" s="578"/>
      <c r="K201" s="579"/>
      <c r="L201" s="582"/>
      <c r="M201" s="568" t="s">
        <v>715</v>
      </c>
    </row>
    <row r="202" spans="1:13">
      <c r="A202" s="571" t="s">
        <v>560</v>
      </c>
      <c r="B202" s="571"/>
      <c r="C202" s="571"/>
      <c r="D202" s="571"/>
      <c r="E202" s="571"/>
      <c r="F202" s="571"/>
      <c r="G202" s="571"/>
      <c r="H202" s="571"/>
      <c r="I202" s="571"/>
      <c r="J202" s="572" t="e">
        <f>SUM(J5:J201)</f>
        <v>#REF!</v>
      </c>
      <c r="K202" s="571"/>
      <c r="L202" s="584"/>
      <c r="M202" s="568" t="s">
        <v>715</v>
      </c>
    </row>
    <row r="203" spans="1:13">
      <c r="A203" s="568" t="s">
        <v>1</v>
      </c>
    </row>
    <row r="204" spans="1:13">
      <c r="A204" s="573" t="s">
        <v>561</v>
      </c>
    </row>
    <row r="205" spans="1:13">
      <c r="A205" s="573" t="s">
        <v>562</v>
      </c>
      <c r="I205" s="568" t="e">
        <f>#REF!</f>
        <v>#REF!</v>
      </c>
      <c r="J205" s="769" t="e">
        <f>J202/I205</f>
        <v>#REF!</v>
      </c>
    </row>
    <row r="206" spans="1:13">
      <c r="A206" s="573" t="s">
        <v>563</v>
      </c>
    </row>
    <row r="207" spans="1:13">
      <c r="A207" s="568" t="s">
        <v>1</v>
      </c>
      <c r="B207" s="574">
        <f>30551/2100</f>
        <v>14.548095238095238</v>
      </c>
      <c r="C207" s="574"/>
    </row>
  </sheetData>
  <autoFilter ref="A3:M207"/>
  <mergeCells count="12">
    <mergeCell ref="A1:A2"/>
    <mergeCell ref="B1:B2"/>
    <mergeCell ref="D1:D2"/>
    <mergeCell ref="A62:L62"/>
    <mergeCell ref="A95:L95"/>
    <mergeCell ref="A4:L4"/>
    <mergeCell ref="C1:C2"/>
    <mergeCell ref="E1:E2"/>
    <mergeCell ref="K1:K2"/>
    <mergeCell ref="F1:G1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5"/>
  <sheetViews>
    <sheetView zoomScale="89" zoomScaleNormal="89" zoomScaleSheetLayoutView="89" zoomScalePageLayoutView="89" workbookViewId="0">
      <selection activeCell="A4" sqref="A4:E4"/>
    </sheetView>
  </sheetViews>
  <sheetFormatPr defaultColWidth="9.140625" defaultRowHeight="18.75"/>
  <cols>
    <col min="1" max="1" width="6.85546875" style="626" customWidth="1"/>
    <col min="2" max="2" width="59.42578125" style="625" customWidth="1"/>
    <col min="3" max="3" width="17" style="624" customWidth="1"/>
    <col min="4" max="4" width="13.140625" style="624" customWidth="1"/>
    <col min="5" max="5" width="9.42578125" style="624" customWidth="1"/>
    <col min="6" max="6" width="21" style="624" customWidth="1"/>
    <col min="7" max="16384" width="9.140625" style="624"/>
  </cols>
  <sheetData>
    <row r="1" spans="1:6" ht="81.75" customHeight="1">
      <c r="A1" s="628"/>
      <c r="B1" s="629"/>
      <c r="C1" s="822" t="s">
        <v>952</v>
      </c>
      <c r="D1" s="822"/>
      <c r="E1" s="822"/>
      <c r="F1" s="742" t="e">
        <f>#REF!</f>
        <v>#REF!</v>
      </c>
    </row>
    <row r="2" spans="1:6" s="627" customFormat="1" ht="45" customHeight="1">
      <c r="A2" s="827" t="s">
        <v>951</v>
      </c>
      <c r="B2" s="827"/>
      <c r="C2" s="827"/>
      <c r="D2" s="827"/>
      <c r="E2" s="827"/>
      <c r="F2" s="630"/>
    </row>
    <row r="3" spans="1:6" s="627" customFormat="1" ht="15.75">
      <c r="A3" s="628"/>
      <c r="B3" s="629"/>
      <c r="C3" s="630"/>
      <c r="D3" s="630"/>
      <c r="E3" s="630"/>
      <c r="F3" s="630"/>
    </row>
    <row r="4" spans="1:6" s="627" customFormat="1">
      <c r="A4" s="823" t="e">
        <f>VLOOKUP($F$1,#REF!,COLUMN(#REF!))</f>
        <v>#REF!</v>
      </c>
      <c r="B4" s="823"/>
      <c r="C4" s="823"/>
      <c r="D4" s="823"/>
      <c r="E4" s="823"/>
      <c r="F4" s="630"/>
    </row>
    <row r="5" spans="1:6" s="627" customFormat="1" ht="16.5" thickBot="1">
      <c r="A5" s="628"/>
      <c r="B5" s="629"/>
      <c r="C5" s="630"/>
      <c r="D5" s="630"/>
      <c r="E5" s="630"/>
      <c r="F5" s="630"/>
    </row>
    <row r="6" spans="1:6" s="627" customFormat="1" ht="16.5" thickBot="1">
      <c r="A6" s="809" t="s">
        <v>756</v>
      </c>
      <c r="B6" s="810"/>
      <c r="C6" s="810"/>
      <c r="D6" s="810"/>
      <c r="E6" s="811"/>
      <c r="F6" s="630"/>
    </row>
    <row r="7" spans="1:6" s="627" customFormat="1" ht="26.25" thickBot="1">
      <c r="A7" s="631" t="s">
        <v>820</v>
      </c>
      <c r="B7" s="632" t="s">
        <v>880</v>
      </c>
      <c r="C7" s="633" t="s">
        <v>879</v>
      </c>
      <c r="D7" s="634" t="s">
        <v>106</v>
      </c>
      <c r="E7" s="635" t="s">
        <v>878</v>
      </c>
      <c r="F7" s="630"/>
    </row>
    <row r="8" spans="1:6" s="627" customFormat="1" ht="51">
      <c r="A8" s="636">
        <v>1</v>
      </c>
      <c r="B8" s="637" t="s">
        <v>896</v>
      </c>
      <c r="C8" s="638" t="s">
        <v>953</v>
      </c>
      <c r="D8" s="727" t="e">
        <f>VLOOKUP($F$1,#REF!,COLUMN(#REF!))</f>
        <v>#REF!</v>
      </c>
      <c r="E8" s="640" t="s">
        <v>873</v>
      </c>
      <c r="F8" s="630"/>
    </row>
    <row r="9" spans="1:6" s="627" customFormat="1" ht="15.75">
      <c r="A9" s="641">
        <v>2</v>
      </c>
      <c r="B9" s="642" t="s">
        <v>755</v>
      </c>
      <c r="C9" s="638" t="s">
        <v>953</v>
      </c>
      <c r="D9" s="643" t="e">
        <f>IF(ISNA(MATCH($F$1,#REF!,0)),"нет такого кода",INDEX(#REF!,MATCH(Послуги!$F$1,#REF!,0)))</f>
        <v>#REF!</v>
      </c>
      <c r="E9" s="644" t="s">
        <v>873</v>
      </c>
      <c r="F9" s="630"/>
    </row>
    <row r="10" spans="1:6" s="627" customFormat="1" ht="15.75">
      <c r="A10" s="641">
        <v>3</v>
      </c>
      <c r="B10" s="642" t="s">
        <v>950</v>
      </c>
      <c r="C10" s="638" t="s">
        <v>953</v>
      </c>
      <c r="D10" s="720" t="e">
        <f>#REF!</f>
        <v>#REF!</v>
      </c>
      <c r="E10" s="644" t="s">
        <v>873</v>
      </c>
      <c r="F10" s="630"/>
    </row>
    <row r="11" spans="1:6" s="627" customFormat="1" ht="15.75">
      <c r="A11" s="641">
        <v>4</v>
      </c>
      <c r="B11" s="642" t="s">
        <v>946</v>
      </c>
      <c r="C11" s="638" t="s">
        <v>891</v>
      </c>
      <c r="D11" s="721" t="e">
        <f>D9/D10</f>
        <v>#REF!</v>
      </c>
      <c r="E11" s="644" t="s">
        <v>873</v>
      </c>
      <c r="F11" s="630"/>
    </row>
    <row r="12" spans="1:6" s="627" customFormat="1" ht="15.75">
      <c r="A12" s="641">
        <v>5</v>
      </c>
      <c r="B12" s="642" t="s">
        <v>237</v>
      </c>
      <c r="C12" s="638" t="s">
        <v>870</v>
      </c>
      <c r="D12" s="643" t="s">
        <v>873</v>
      </c>
      <c r="E12" s="722" t="e">
        <f>#REF!*D11</f>
        <v>#REF!</v>
      </c>
      <c r="F12" s="630"/>
    </row>
    <row r="13" spans="1:6" s="627" customFormat="1" ht="25.5">
      <c r="A13" s="641">
        <v>6</v>
      </c>
      <c r="B13" s="642" t="s">
        <v>890</v>
      </c>
      <c r="C13" s="638" t="s">
        <v>889</v>
      </c>
      <c r="D13" s="724" t="e">
        <f>#REF!</f>
        <v>#REF!</v>
      </c>
      <c r="E13" s="722" t="e">
        <f>E12*D13</f>
        <v>#REF!</v>
      </c>
      <c r="F13" s="630"/>
    </row>
    <row r="14" spans="1:6" s="627" customFormat="1" ht="15.75">
      <c r="A14" s="641">
        <v>7</v>
      </c>
      <c r="B14" s="642" t="s">
        <v>916</v>
      </c>
      <c r="C14" s="638" t="s">
        <v>889</v>
      </c>
      <c r="D14" s="725" t="e">
        <f>#REF!</f>
        <v>#REF!</v>
      </c>
      <c r="E14" s="722" t="e">
        <f>E12*D14</f>
        <v>#REF!</v>
      </c>
      <c r="F14" s="630"/>
    </row>
    <row r="15" spans="1:6" s="627" customFormat="1" ht="15.75">
      <c r="A15" s="641">
        <v>8</v>
      </c>
      <c r="B15" s="642" t="s">
        <v>760</v>
      </c>
      <c r="C15" s="638" t="s">
        <v>870</v>
      </c>
      <c r="D15" s="643" t="s">
        <v>873</v>
      </c>
      <c r="E15" s="722" t="e">
        <f>#REF!+#REF!</f>
        <v>#REF!</v>
      </c>
      <c r="F15" s="630"/>
    </row>
    <row r="16" spans="1:6" s="627" customFormat="1" ht="16.5" thickBot="1">
      <c r="A16" s="645">
        <v>9</v>
      </c>
      <c r="B16" s="646" t="s">
        <v>888</v>
      </c>
      <c r="C16" s="647" t="s">
        <v>870</v>
      </c>
      <c r="D16" s="648" t="s">
        <v>873</v>
      </c>
      <c r="E16" s="649">
        <v>0</v>
      </c>
      <c r="F16" s="630"/>
    </row>
    <row r="17" spans="1:8" s="627" customFormat="1" ht="15.75">
      <c r="A17" s="650">
        <v>10</v>
      </c>
      <c r="B17" s="637" t="s">
        <v>754</v>
      </c>
      <c r="C17" s="651" t="s">
        <v>870</v>
      </c>
      <c r="D17" s="639" t="s">
        <v>873</v>
      </c>
      <c r="E17" s="723" t="e">
        <f>SUM(E12:E16)</f>
        <v>#REF!</v>
      </c>
      <c r="F17" s="630"/>
    </row>
    <row r="18" spans="1:8" s="627" customFormat="1" ht="16.5" thickBot="1">
      <c r="A18" s="653">
        <v>11</v>
      </c>
      <c r="B18" s="654" t="s">
        <v>954</v>
      </c>
      <c r="C18" s="655" t="s">
        <v>955</v>
      </c>
      <c r="D18" s="656" t="s">
        <v>873</v>
      </c>
      <c r="E18" s="726" t="e">
        <f>E17/D8</f>
        <v>#REF!</v>
      </c>
      <c r="F18" s="630"/>
      <c r="G18" s="757" t="e">
        <f>IF(ISNA(MATCH($F$1,#REF!,0)),"нет такого кода",INDEX(#REF!,MATCH(Послуги!$F$1,#REF!,0)))</f>
        <v>#REF!</v>
      </c>
      <c r="H18" s="757" t="e">
        <f>E18-G18</f>
        <v>#REF!</v>
      </c>
    </row>
    <row r="19" spans="1:8" s="627" customFormat="1" ht="16.5" thickBot="1">
      <c r="A19" s="628"/>
      <c r="B19" s="629"/>
      <c r="C19" s="630"/>
      <c r="D19" s="630"/>
      <c r="E19" s="630"/>
      <c r="F19" s="630"/>
    </row>
    <row r="20" spans="1:8" s="627" customFormat="1" ht="16.5" thickBot="1">
      <c r="A20" s="809" t="s">
        <v>758</v>
      </c>
      <c r="B20" s="810"/>
      <c r="C20" s="810"/>
      <c r="D20" s="810"/>
      <c r="E20" s="811"/>
      <c r="F20" s="630"/>
    </row>
    <row r="21" spans="1:8" s="627" customFormat="1" ht="26.25" thickBot="1">
      <c r="A21" s="631" t="s">
        <v>820</v>
      </c>
      <c r="B21" s="658" t="s">
        <v>880</v>
      </c>
      <c r="C21" s="633" t="s">
        <v>879</v>
      </c>
      <c r="D21" s="634" t="s">
        <v>106</v>
      </c>
      <c r="E21" s="635" t="s">
        <v>878</v>
      </c>
      <c r="F21" s="630"/>
    </row>
    <row r="22" spans="1:8" s="627" customFormat="1" ht="76.5">
      <c r="A22" s="659">
        <v>1</v>
      </c>
      <c r="B22" s="660" t="s">
        <v>949</v>
      </c>
      <c r="C22" s="661" t="s">
        <v>953</v>
      </c>
      <c r="D22" s="728" t="e">
        <f>VLOOKUP($F$1,#REF!,COLUMN(#REF!))</f>
        <v>#REF!</v>
      </c>
      <c r="E22" s="640" t="s">
        <v>873</v>
      </c>
      <c r="F22" s="630"/>
    </row>
    <row r="23" spans="1:8" s="627" customFormat="1" ht="15.75">
      <c r="A23" s="663">
        <v>2</v>
      </c>
      <c r="B23" s="642" t="s">
        <v>948</v>
      </c>
      <c r="C23" s="638" t="s">
        <v>953</v>
      </c>
      <c r="D23" s="720" t="e">
        <f>IF(ISNA(MATCH($F$1,#REF!,0)),"нет такого кода",INDEX(#REF!,MATCH(Послуги!$F$1,#REF!,0)))</f>
        <v>#REF!</v>
      </c>
      <c r="E23" s="644" t="s">
        <v>873</v>
      </c>
      <c r="F23" s="630"/>
    </row>
    <row r="24" spans="1:8" s="627" customFormat="1" ht="15.75">
      <c r="A24" s="663">
        <v>3</v>
      </c>
      <c r="B24" s="642" t="s">
        <v>947</v>
      </c>
      <c r="C24" s="638" t="s">
        <v>953</v>
      </c>
      <c r="D24" s="720" t="e">
        <f>#REF!</f>
        <v>#REF!</v>
      </c>
      <c r="E24" s="644" t="s">
        <v>873</v>
      </c>
      <c r="F24" s="630"/>
    </row>
    <row r="25" spans="1:8" s="627" customFormat="1" ht="15.75">
      <c r="A25" s="663">
        <v>4</v>
      </c>
      <c r="B25" s="642" t="s">
        <v>946</v>
      </c>
      <c r="C25" s="638" t="s">
        <v>891</v>
      </c>
      <c r="D25" s="721" t="e">
        <f>D23/D24</f>
        <v>#REF!</v>
      </c>
      <c r="E25" s="644" t="s">
        <v>873</v>
      </c>
      <c r="F25" s="630"/>
    </row>
    <row r="26" spans="1:8" s="627" customFormat="1" ht="15.75">
      <c r="A26" s="663">
        <v>5</v>
      </c>
      <c r="B26" s="642" t="s">
        <v>237</v>
      </c>
      <c r="C26" s="638" t="s">
        <v>870</v>
      </c>
      <c r="D26" s="643" t="s">
        <v>873</v>
      </c>
      <c r="E26" s="722" t="e">
        <f>#REF!*#REF!*#REF!*D25</f>
        <v>#REF!</v>
      </c>
      <c r="F26" s="763" t="e">
        <f>#REF!</f>
        <v>#REF!</v>
      </c>
    </row>
    <row r="27" spans="1:8" s="627" customFormat="1" ht="25.5">
      <c r="A27" s="663">
        <v>6</v>
      </c>
      <c r="B27" s="642" t="s">
        <v>890</v>
      </c>
      <c r="C27" s="638" t="s">
        <v>889</v>
      </c>
      <c r="D27" s="724" t="e">
        <f>#REF!</f>
        <v>#REF!</v>
      </c>
      <c r="E27" s="722" t="e">
        <f>E26*D27</f>
        <v>#REF!</v>
      </c>
      <c r="F27" s="630"/>
    </row>
    <row r="28" spans="1:8" s="627" customFormat="1" ht="15.75">
      <c r="A28" s="663">
        <v>7</v>
      </c>
      <c r="B28" s="642" t="s">
        <v>916</v>
      </c>
      <c r="C28" s="638" t="s">
        <v>889</v>
      </c>
      <c r="D28" s="725" t="e">
        <f>#REF!</f>
        <v>#REF!</v>
      </c>
      <c r="E28" s="722" t="e">
        <f>E26*D28</f>
        <v>#REF!</v>
      </c>
      <c r="F28" s="630"/>
    </row>
    <row r="29" spans="1:8" s="627" customFormat="1" ht="15.75">
      <c r="A29" s="663">
        <v>8</v>
      </c>
      <c r="B29" s="642" t="s">
        <v>760</v>
      </c>
      <c r="C29" s="638" t="s">
        <v>870</v>
      </c>
      <c r="D29" s="643" t="s">
        <v>873</v>
      </c>
      <c r="E29" s="722" t="e">
        <f>IF(ISNA(MATCH($F$1,#REF!,0)),"нет такого кода",INDEX(#REF!,MATCH(Послуги!$F$1,#REF!,0)))</f>
        <v>#REF!</v>
      </c>
      <c r="F29" s="630"/>
    </row>
    <row r="30" spans="1:8" s="627" customFormat="1" ht="16.5" thickBot="1">
      <c r="A30" s="664">
        <v>9</v>
      </c>
      <c r="B30" s="646" t="s">
        <v>888</v>
      </c>
      <c r="C30" s="647" t="s">
        <v>870</v>
      </c>
      <c r="D30" s="648" t="s">
        <v>873</v>
      </c>
      <c r="E30" s="722">
        <v>0</v>
      </c>
      <c r="F30" s="630"/>
    </row>
    <row r="31" spans="1:8" s="627" customFormat="1" ht="15.75">
      <c r="A31" s="659">
        <v>10</v>
      </c>
      <c r="B31" s="665" t="s">
        <v>754</v>
      </c>
      <c r="C31" s="651" t="s">
        <v>870</v>
      </c>
      <c r="D31" s="639" t="s">
        <v>873</v>
      </c>
      <c r="E31" s="723" t="e">
        <f>SUM(E26:E30)</f>
        <v>#REF!</v>
      </c>
      <c r="F31" s="630"/>
    </row>
    <row r="32" spans="1:8" s="627" customFormat="1" ht="16.5" thickBot="1">
      <c r="A32" s="666">
        <v>11</v>
      </c>
      <c r="B32" s="667" t="s">
        <v>954</v>
      </c>
      <c r="C32" s="655" t="s">
        <v>955</v>
      </c>
      <c r="D32" s="656" t="s">
        <v>873</v>
      </c>
      <c r="E32" s="726" t="e">
        <f>E31/D22</f>
        <v>#REF!</v>
      </c>
      <c r="F32" s="630"/>
      <c r="G32" s="757" t="e">
        <f>IF(ISNA(MATCH($F$1,#REF!,0)),"нет такого кода",INDEX(#REF!,MATCH(Послуги!$F$1,#REF!,0)))</f>
        <v>#REF!</v>
      </c>
      <c r="H32" s="757" t="e">
        <f>E32-G32</f>
        <v>#REF!</v>
      </c>
    </row>
    <row r="33" spans="1:6" s="627" customFormat="1" ht="16.5" thickBot="1">
      <c r="A33" s="628"/>
      <c r="B33" s="629"/>
      <c r="C33" s="630"/>
      <c r="D33" s="630"/>
      <c r="E33" s="630"/>
      <c r="F33" s="630"/>
    </row>
    <row r="34" spans="1:6" s="627" customFormat="1" ht="28.5" customHeight="1" thickBot="1">
      <c r="A34" s="824" t="s">
        <v>819</v>
      </c>
      <c r="B34" s="825"/>
      <c r="C34" s="825"/>
      <c r="D34" s="825"/>
      <c r="E34" s="826"/>
      <c r="F34" s="630"/>
    </row>
    <row r="35" spans="1:6" s="627" customFormat="1" ht="26.25" thickBot="1">
      <c r="A35" s="668" t="s">
        <v>820</v>
      </c>
      <c r="B35" s="632" t="s">
        <v>880</v>
      </c>
      <c r="C35" s="634" t="s">
        <v>879</v>
      </c>
      <c r="D35" s="634" t="s">
        <v>106</v>
      </c>
      <c r="E35" s="635" t="s">
        <v>878</v>
      </c>
      <c r="F35" s="630"/>
    </row>
    <row r="36" spans="1:6" s="627" customFormat="1" ht="38.25">
      <c r="A36" s="663">
        <v>1</v>
      </c>
      <c r="B36" s="669" t="s">
        <v>945</v>
      </c>
      <c r="C36" s="661" t="s">
        <v>953</v>
      </c>
      <c r="D36" s="743" t="e">
        <f>VLOOKUP($F$1,#REF!,COLUMN(#REF!))</f>
        <v>#REF!</v>
      </c>
      <c r="E36" s="744" t="s">
        <v>873</v>
      </c>
      <c r="F36" s="630"/>
    </row>
    <row r="37" spans="1:6" s="627" customFormat="1" ht="15.75">
      <c r="A37" s="663">
        <v>2</v>
      </c>
      <c r="B37" s="660" t="s">
        <v>944</v>
      </c>
      <c r="C37" s="638" t="s">
        <v>891</v>
      </c>
      <c r="D37" s="745" t="e">
        <f>IF(ISNA(MATCH($F$1,#REF!,0)),"нет такого кода",INDEX(#REF!,MATCH(Послуги!$F$1,#REF!,0)))</f>
        <v>#REF!</v>
      </c>
      <c r="E37" s="746" t="s">
        <v>873</v>
      </c>
      <c r="F37" s="630"/>
    </row>
    <row r="38" spans="1:6" s="627" customFormat="1" ht="15.75">
      <c r="A38" s="663"/>
      <c r="B38" s="660" t="s">
        <v>968</v>
      </c>
      <c r="C38" s="638"/>
      <c r="D38" s="745" t="e">
        <f>IF(ISNA(MATCH($F$1,#REF!,0)),"нет такого кода",INDEX(#REF!,MATCH(Послуги!$F$1,#REF!,0)))</f>
        <v>#REF!</v>
      </c>
      <c r="E38" s="746"/>
      <c r="F38" s="630"/>
    </row>
    <row r="39" spans="1:6" s="627" customFormat="1" ht="25.5">
      <c r="A39" s="663">
        <v>3</v>
      </c>
      <c r="B39" s="660" t="s">
        <v>964</v>
      </c>
      <c r="C39" s="638" t="s">
        <v>956</v>
      </c>
      <c r="D39" s="747" t="e">
        <f>#REF!</f>
        <v>#REF!</v>
      </c>
      <c r="E39" s="746" t="s">
        <v>873</v>
      </c>
      <c r="F39" s="630"/>
    </row>
    <row r="40" spans="1:6" s="627" customFormat="1" ht="25.5">
      <c r="A40" s="663">
        <v>4</v>
      </c>
      <c r="B40" s="660" t="s">
        <v>965</v>
      </c>
      <c r="C40" s="638" t="s">
        <v>956</v>
      </c>
      <c r="D40" s="747" t="e">
        <f>#REF!</f>
        <v>#REF!</v>
      </c>
      <c r="E40" s="746" t="s">
        <v>873</v>
      </c>
      <c r="F40" s="630"/>
    </row>
    <row r="41" spans="1:6" s="627" customFormat="1" ht="15.75">
      <c r="A41" s="663">
        <v>5</v>
      </c>
      <c r="B41" s="660" t="s">
        <v>966</v>
      </c>
      <c r="C41" s="638" t="s">
        <v>870</v>
      </c>
      <c r="D41" s="747" t="e">
        <f>#REF!</f>
        <v>#REF!</v>
      </c>
      <c r="E41" s="746"/>
      <c r="F41" s="630"/>
    </row>
    <row r="42" spans="1:6" s="627" customFormat="1" ht="25.5">
      <c r="A42" s="663">
        <v>6</v>
      </c>
      <c r="B42" s="660" t="s">
        <v>967</v>
      </c>
      <c r="C42" s="638" t="s">
        <v>870</v>
      </c>
      <c r="D42" s="747" t="e">
        <f>#REF!</f>
        <v>#REF!</v>
      </c>
      <c r="E42" s="746"/>
      <c r="F42" s="630"/>
    </row>
    <row r="43" spans="1:6" s="627" customFormat="1" ht="15.75">
      <c r="A43" s="663">
        <v>7</v>
      </c>
      <c r="B43" s="660" t="s">
        <v>943</v>
      </c>
      <c r="C43" s="638" t="s">
        <v>956</v>
      </c>
      <c r="D43" s="745">
        <v>0</v>
      </c>
      <c r="E43" s="746" t="s">
        <v>873</v>
      </c>
      <c r="F43" s="630"/>
    </row>
    <row r="44" spans="1:6" s="627" customFormat="1" ht="15.75">
      <c r="A44" s="663">
        <v>8</v>
      </c>
      <c r="B44" s="660" t="s">
        <v>942</v>
      </c>
      <c r="C44" s="638" t="s">
        <v>956</v>
      </c>
      <c r="D44" s="745">
        <v>0</v>
      </c>
      <c r="E44" s="746" t="s">
        <v>873</v>
      </c>
      <c r="F44" s="630"/>
    </row>
    <row r="45" spans="1:6" s="627" customFormat="1" ht="15.75">
      <c r="A45" s="663">
        <v>9</v>
      </c>
      <c r="B45" s="660" t="s">
        <v>941</v>
      </c>
      <c r="C45" s="638" t="s">
        <v>956</v>
      </c>
      <c r="D45" s="745">
        <v>0</v>
      </c>
      <c r="E45" s="746" t="s">
        <v>873</v>
      </c>
      <c r="F45" s="630"/>
    </row>
    <row r="46" spans="1:6" s="627" customFormat="1" ht="15.75">
      <c r="A46" s="663">
        <v>10</v>
      </c>
      <c r="B46" s="660" t="s">
        <v>940</v>
      </c>
      <c r="C46" s="638" t="s">
        <v>870</v>
      </c>
      <c r="D46" s="745" t="s">
        <v>873</v>
      </c>
      <c r="E46" s="748" t="e">
        <f>(IF(D38=0,D37*$D$40,D37*$D$39)/12)*(D41+D42)</f>
        <v>#REF!</v>
      </c>
      <c r="F46" s="630"/>
    </row>
    <row r="47" spans="1:6" s="627" customFormat="1" ht="15.75">
      <c r="A47" s="663">
        <v>11</v>
      </c>
      <c r="B47" s="660" t="s">
        <v>939</v>
      </c>
      <c r="C47" s="638" t="s">
        <v>870</v>
      </c>
      <c r="D47" s="745" t="s">
        <v>873</v>
      </c>
      <c r="E47" s="746">
        <v>0</v>
      </c>
      <c r="F47" s="630"/>
    </row>
    <row r="48" spans="1:6" s="627" customFormat="1" ht="15.75">
      <c r="A48" s="663">
        <v>12</v>
      </c>
      <c r="B48" s="660" t="s">
        <v>938</v>
      </c>
      <c r="C48" s="638" t="s">
        <v>870</v>
      </c>
      <c r="D48" s="745" t="s">
        <v>873</v>
      </c>
      <c r="E48" s="749">
        <v>0</v>
      </c>
      <c r="F48" s="630"/>
    </row>
    <row r="49" spans="1:8" s="627" customFormat="1" ht="16.5" thickBot="1">
      <c r="A49" s="663">
        <v>13</v>
      </c>
      <c r="B49" s="671" t="s">
        <v>937</v>
      </c>
      <c r="C49" s="672" t="s">
        <v>870</v>
      </c>
      <c r="D49" s="750" t="s">
        <v>41</v>
      </c>
      <c r="E49" s="751">
        <v>0</v>
      </c>
      <c r="F49" s="630"/>
    </row>
    <row r="50" spans="1:8" s="627" customFormat="1" ht="15.75">
      <c r="A50" s="659">
        <v>14</v>
      </c>
      <c r="B50" s="673" t="s">
        <v>754</v>
      </c>
      <c r="C50" s="651" t="s">
        <v>870</v>
      </c>
      <c r="D50" s="743" t="s">
        <v>873</v>
      </c>
      <c r="E50" s="752" t="e">
        <f>SUM(E46:E49)</f>
        <v>#REF!</v>
      </c>
      <c r="F50" s="630"/>
    </row>
    <row r="51" spans="1:8" s="627" customFormat="1" ht="16.5" thickBot="1">
      <c r="A51" s="666">
        <v>15</v>
      </c>
      <c r="B51" s="674" t="s">
        <v>954</v>
      </c>
      <c r="C51" s="655" t="s">
        <v>955</v>
      </c>
      <c r="D51" s="753" t="s">
        <v>873</v>
      </c>
      <c r="E51" s="754" t="e">
        <f>E50/D36</f>
        <v>#REF!</v>
      </c>
      <c r="F51" s="630"/>
      <c r="G51" s="757" t="e">
        <f>IF(ISNA(MATCH($F$1,#REF!,0)),"нет такого кода",INDEX(#REF!,MATCH(Послуги!$F$1,#REF!,0)))</f>
        <v>#REF!</v>
      </c>
      <c r="H51" s="757" t="e">
        <f>E51-G51</f>
        <v>#REF!</v>
      </c>
    </row>
    <row r="52" spans="1:8" s="627" customFormat="1" ht="16.5" thickBot="1">
      <c r="A52" s="628"/>
      <c r="B52" s="629"/>
      <c r="C52" s="630"/>
      <c r="D52" s="630"/>
      <c r="E52" s="630"/>
      <c r="F52" s="630"/>
    </row>
    <row r="53" spans="1:8" s="627" customFormat="1" ht="16.5" thickBot="1">
      <c r="A53" s="824" t="s">
        <v>768</v>
      </c>
      <c r="B53" s="825"/>
      <c r="C53" s="825"/>
      <c r="D53" s="825"/>
      <c r="E53" s="826"/>
      <c r="F53" s="630"/>
    </row>
    <row r="54" spans="1:8" s="627" customFormat="1" ht="26.25" thickBot="1">
      <c r="A54" s="631" t="s">
        <v>820</v>
      </c>
      <c r="B54" s="632" t="s">
        <v>880</v>
      </c>
      <c r="C54" s="633" t="s">
        <v>879</v>
      </c>
      <c r="D54" s="634" t="s">
        <v>106</v>
      </c>
      <c r="E54" s="635" t="s">
        <v>878</v>
      </c>
      <c r="F54" s="630"/>
    </row>
    <row r="55" spans="1:8" s="627" customFormat="1" ht="51">
      <c r="A55" s="636">
        <v>1</v>
      </c>
      <c r="B55" s="669" t="s">
        <v>896</v>
      </c>
      <c r="C55" s="638" t="s">
        <v>953</v>
      </c>
      <c r="D55" s="729" t="e">
        <f>VLOOKUP($F$1,#REF!,COLUMN(#REF!))</f>
        <v>#REF!</v>
      </c>
      <c r="E55" s="730" t="s">
        <v>873</v>
      </c>
      <c r="F55" s="630"/>
    </row>
    <row r="56" spans="1:8" s="627" customFormat="1" ht="15.75">
      <c r="A56" s="641">
        <v>2</v>
      </c>
      <c r="B56" s="660" t="s">
        <v>237</v>
      </c>
      <c r="C56" s="638" t="s">
        <v>870</v>
      </c>
      <c r="D56" s="731"/>
      <c r="E56" s="732" t="s">
        <v>873</v>
      </c>
      <c r="F56" s="630"/>
    </row>
    <row r="57" spans="1:8" s="627" customFormat="1" ht="25.5">
      <c r="A57" s="641">
        <v>3</v>
      </c>
      <c r="B57" s="660" t="s">
        <v>890</v>
      </c>
      <c r="C57" s="638" t="s">
        <v>889</v>
      </c>
      <c r="D57" s="731"/>
      <c r="E57" s="732"/>
      <c r="F57" s="630"/>
    </row>
    <row r="58" spans="1:8" s="627" customFormat="1" ht="15.75">
      <c r="A58" s="641">
        <v>4</v>
      </c>
      <c r="B58" s="660" t="s">
        <v>916</v>
      </c>
      <c r="C58" s="638" t="s">
        <v>889</v>
      </c>
      <c r="D58" s="731"/>
      <c r="E58" s="732"/>
      <c r="F58" s="630"/>
    </row>
    <row r="59" spans="1:8" s="627" customFormat="1" ht="15.75">
      <c r="A59" s="641">
        <v>5</v>
      </c>
      <c r="B59" s="660" t="s">
        <v>760</v>
      </c>
      <c r="C59" s="638" t="s">
        <v>870</v>
      </c>
      <c r="D59" s="733" t="s">
        <v>873</v>
      </c>
      <c r="E59" s="732"/>
      <c r="F59" s="630"/>
    </row>
    <row r="60" spans="1:8" s="627" customFormat="1" ht="16.5" thickBot="1">
      <c r="A60" s="645">
        <v>6</v>
      </c>
      <c r="B60" s="676" t="s">
        <v>888</v>
      </c>
      <c r="C60" s="647" t="s">
        <v>870</v>
      </c>
      <c r="D60" s="734" t="s">
        <v>873</v>
      </c>
      <c r="E60" s="735"/>
      <c r="F60" s="630"/>
    </row>
    <row r="61" spans="1:8" s="627" customFormat="1" ht="15.75">
      <c r="A61" s="650">
        <v>7</v>
      </c>
      <c r="B61" s="673" t="s">
        <v>754</v>
      </c>
      <c r="C61" s="651" t="s">
        <v>870</v>
      </c>
      <c r="D61" s="736" t="s">
        <v>873</v>
      </c>
      <c r="E61" s="737"/>
      <c r="F61" s="630"/>
    </row>
    <row r="62" spans="1:8" s="627" customFormat="1" ht="16.5" thickBot="1">
      <c r="A62" s="653">
        <v>8</v>
      </c>
      <c r="B62" s="674" t="s">
        <v>954</v>
      </c>
      <c r="C62" s="655" t="s">
        <v>955</v>
      </c>
      <c r="D62" s="738" t="s">
        <v>873</v>
      </c>
      <c r="E62" s="739"/>
      <c r="F62" s="630"/>
    </row>
    <row r="63" spans="1:8" s="627" customFormat="1" ht="16.5" thickBot="1">
      <c r="A63" s="628"/>
      <c r="B63" s="629"/>
      <c r="C63" s="630"/>
      <c r="D63" s="630"/>
      <c r="E63" s="630"/>
      <c r="F63" s="630"/>
    </row>
    <row r="64" spans="1:8" s="627" customFormat="1" ht="16.5" thickBot="1">
      <c r="A64" s="809" t="s">
        <v>769</v>
      </c>
      <c r="B64" s="810"/>
      <c r="C64" s="810"/>
      <c r="D64" s="810"/>
      <c r="E64" s="811"/>
      <c r="F64" s="630"/>
    </row>
    <row r="65" spans="1:8" s="627" customFormat="1" ht="26.25" thickBot="1">
      <c r="A65" s="668" t="s">
        <v>820</v>
      </c>
      <c r="B65" s="677" t="s">
        <v>880</v>
      </c>
      <c r="C65" s="634" t="s">
        <v>879</v>
      </c>
      <c r="D65" s="634" t="s">
        <v>106</v>
      </c>
      <c r="E65" s="635" t="s">
        <v>878</v>
      </c>
      <c r="F65" s="630"/>
    </row>
    <row r="66" spans="1:8" s="627" customFormat="1" ht="63.75">
      <c r="A66" s="663">
        <v>1</v>
      </c>
      <c r="B66" s="660" t="s">
        <v>934</v>
      </c>
      <c r="C66" s="678" t="s">
        <v>953</v>
      </c>
      <c r="D66" s="662" t="e">
        <f>VLOOKUP($F$1,#REF!,COLUMN(#REF!))</f>
        <v>#REF!</v>
      </c>
      <c r="E66" s="640" t="s">
        <v>873</v>
      </c>
      <c r="F66" s="630"/>
    </row>
    <row r="67" spans="1:8" s="627" customFormat="1" ht="15.75">
      <c r="A67" s="663">
        <v>2</v>
      </c>
      <c r="B67" s="660" t="s">
        <v>969</v>
      </c>
      <c r="C67" s="679" t="s">
        <v>759</v>
      </c>
      <c r="D67" s="721" t="e">
        <f>IF(ISNA(MATCH($F$1,#REF!,0)),"нет такого кода",INDEX(#REF!,MATCH(Послуги!$F$1,#REF!,0)))</f>
        <v>#REF!</v>
      </c>
      <c r="E67" s="644" t="s">
        <v>873</v>
      </c>
      <c r="F67" s="630"/>
    </row>
    <row r="68" spans="1:8" s="627" customFormat="1" ht="90" thickBot="1">
      <c r="A68" s="670">
        <v>3</v>
      </c>
      <c r="B68" s="660" t="s">
        <v>936</v>
      </c>
      <c r="C68" s="680" t="s">
        <v>870</v>
      </c>
      <c r="D68" s="648" t="s">
        <v>873</v>
      </c>
      <c r="E68" s="758" t="e">
        <f>#REF!*D67</f>
        <v>#REF!</v>
      </c>
      <c r="F68" s="630"/>
    </row>
    <row r="69" spans="1:8" s="627" customFormat="1" ht="15.75">
      <c r="A69" s="659">
        <v>4</v>
      </c>
      <c r="B69" s="673" t="s">
        <v>754</v>
      </c>
      <c r="C69" s="651" t="s">
        <v>870</v>
      </c>
      <c r="D69" s="639" t="s">
        <v>873</v>
      </c>
      <c r="E69" s="723" t="e">
        <f>SUM(E68)</f>
        <v>#REF!</v>
      </c>
      <c r="F69" s="630"/>
    </row>
    <row r="70" spans="1:8" s="627" customFormat="1" ht="16.5" thickBot="1">
      <c r="A70" s="666">
        <v>5</v>
      </c>
      <c r="B70" s="674" t="s">
        <v>954</v>
      </c>
      <c r="C70" s="655" t="s">
        <v>957</v>
      </c>
      <c r="D70" s="656" t="s">
        <v>873</v>
      </c>
      <c r="E70" s="726" t="e">
        <f>E69/D66</f>
        <v>#REF!</v>
      </c>
      <c r="F70" s="630"/>
      <c r="G70" s="757" t="e">
        <f>IF(ISNA(MATCH($F$1,#REF!,0)),"нет такого кода",INDEX(#REF!,MATCH(Послуги!$F$1,#REF!,0)))</f>
        <v>#REF!</v>
      </c>
      <c r="H70" s="757" t="e">
        <f>E70-G70</f>
        <v>#REF!</v>
      </c>
    </row>
    <row r="71" spans="1:8" s="627" customFormat="1" ht="16.5" thickBot="1">
      <c r="A71" s="628"/>
      <c r="B71" s="629"/>
      <c r="C71" s="630"/>
      <c r="D71" s="630"/>
      <c r="E71" s="630"/>
      <c r="F71" s="630"/>
    </row>
    <row r="72" spans="1:8" s="627" customFormat="1" ht="28.5" customHeight="1" thickBot="1">
      <c r="A72" s="824" t="s">
        <v>818</v>
      </c>
      <c r="B72" s="825"/>
      <c r="C72" s="825"/>
      <c r="D72" s="825"/>
      <c r="E72" s="826"/>
      <c r="F72" s="630"/>
    </row>
    <row r="73" spans="1:8" s="627" customFormat="1" ht="26.25" thickBot="1">
      <c r="A73" s="634" t="s">
        <v>820</v>
      </c>
      <c r="B73" s="681" t="s">
        <v>880</v>
      </c>
      <c r="C73" s="634" t="s">
        <v>879</v>
      </c>
      <c r="D73" s="633" t="s">
        <v>106</v>
      </c>
      <c r="E73" s="634" t="s">
        <v>935</v>
      </c>
      <c r="F73" s="630"/>
    </row>
    <row r="74" spans="1:8" s="627" customFormat="1" ht="63.75">
      <c r="A74" s="682">
        <v>1</v>
      </c>
      <c r="B74" s="660" t="s">
        <v>934</v>
      </c>
      <c r="C74" s="662" t="s">
        <v>953</v>
      </c>
      <c r="D74" s="661" t="e">
        <f>VLOOKUP($F$1,#REF!,COLUMN(#REF!))</f>
        <v>#REF!</v>
      </c>
      <c r="E74" s="662" t="s">
        <v>873</v>
      </c>
      <c r="F74" s="630"/>
    </row>
    <row r="75" spans="1:8" s="627" customFormat="1" ht="15.75">
      <c r="A75" s="663">
        <v>2</v>
      </c>
      <c r="B75" s="683" t="s">
        <v>237</v>
      </c>
      <c r="C75" s="643" t="s">
        <v>870</v>
      </c>
      <c r="D75" s="638" t="s">
        <v>873</v>
      </c>
      <c r="E75" s="643">
        <v>0</v>
      </c>
      <c r="F75" s="630"/>
    </row>
    <row r="76" spans="1:8" s="627" customFormat="1" ht="25.5">
      <c r="A76" s="663">
        <v>3</v>
      </c>
      <c r="B76" s="684" t="s">
        <v>890</v>
      </c>
      <c r="C76" s="643" t="s">
        <v>889</v>
      </c>
      <c r="D76" s="638">
        <v>0</v>
      </c>
      <c r="E76" s="643">
        <v>0</v>
      </c>
      <c r="F76" s="630"/>
    </row>
    <row r="77" spans="1:8" s="627" customFormat="1" ht="15.75">
      <c r="A77" s="663">
        <v>4</v>
      </c>
      <c r="B77" s="683" t="s">
        <v>916</v>
      </c>
      <c r="C77" s="643" t="s">
        <v>889</v>
      </c>
      <c r="D77" s="638">
        <v>0</v>
      </c>
      <c r="E77" s="643">
        <v>0</v>
      </c>
      <c r="F77" s="630"/>
    </row>
    <row r="78" spans="1:8" s="627" customFormat="1" ht="15.75">
      <c r="A78" s="663">
        <v>5</v>
      </c>
      <c r="B78" s="683" t="s">
        <v>933</v>
      </c>
      <c r="C78" s="643" t="s">
        <v>870</v>
      </c>
      <c r="D78" s="638" t="s">
        <v>873</v>
      </c>
      <c r="E78" s="643">
        <v>0</v>
      </c>
      <c r="F78" s="630"/>
    </row>
    <row r="79" spans="1:8" s="627" customFormat="1" ht="16.5" thickBot="1">
      <c r="A79" s="670">
        <v>6</v>
      </c>
      <c r="B79" s="676" t="s">
        <v>888</v>
      </c>
      <c r="C79" s="648" t="s">
        <v>870</v>
      </c>
      <c r="D79" s="647" t="s">
        <v>873</v>
      </c>
      <c r="E79" s="648" t="e">
        <f>IF(ISNA(MATCH($F$1,#REF!,0)),"нет такого кода",INDEX(#REF!,MATCH(Послуги!$F$1,#REF!,0)))</f>
        <v>#REF!</v>
      </c>
      <c r="F79" s="630"/>
    </row>
    <row r="80" spans="1:8" s="627" customFormat="1" ht="15.75">
      <c r="A80" s="659">
        <v>7</v>
      </c>
      <c r="B80" s="685" t="s">
        <v>754</v>
      </c>
      <c r="C80" s="639" t="s">
        <v>870</v>
      </c>
      <c r="D80" s="651" t="s">
        <v>873</v>
      </c>
      <c r="E80" s="639" t="e">
        <f>SUM(E75:E79)</f>
        <v>#REF!</v>
      </c>
      <c r="F80" s="630"/>
    </row>
    <row r="81" spans="1:8" s="627" customFormat="1" ht="16.5" thickBot="1">
      <c r="A81" s="666">
        <v>8</v>
      </c>
      <c r="B81" s="686" t="s">
        <v>954</v>
      </c>
      <c r="C81" s="656" t="s">
        <v>955</v>
      </c>
      <c r="D81" s="656" t="s">
        <v>873</v>
      </c>
      <c r="E81" s="726" t="e">
        <f>E80/D74</f>
        <v>#REF!</v>
      </c>
      <c r="F81" s="630"/>
      <c r="G81" s="757" t="e">
        <f>IF(ISNA(MATCH($F$1,#REF!,0)),"нет такого кода",INDEX(#REF!,MATCH(Послуги!$F$1,#REF!,0)))</f>
        <v>#REF!</v>
      </c>
      <c r="H81" s="757" t="e">
        <f>E81-G81</f>
        <v>#REF!</v>
      </c>
    </row>
    <row r="82" spans="1:8" s="627" customFormat="1" ht="16.5" thickBot="1">
      <c r="A82" s="628"/>
      <c r="B82" s="629"/>
      <c r="C82" s="630"/>
      <c r="D82" s="630"/>
      <c r="E82" s="630"/>
      <c r="F82" s="630"/>
    </row>
    <row r="83" spans="1:8" s="627" customFormat="1" ht="32.25" customHeight="1" thickBot="1">
      <c r="A83" s="824" t="s">
        <v>771</v>
      </c>
      <c r="B83" s="825"/>
      <c r="C83" s="825"/>
      <c r="D83" s="825"/>
      <c r="E83" s="826"/>
      <c r="F83" s="630"/>
    </row>
    <row r="84" spans="1:8" s="627" customFormat="1" ht="26.25" thickBot="1">
      <c r="A84" s="634" t="s">
        <v>820</v>
      </c>
      <c r="B84" s="681" t="s">
        <v>880</v>
      </c>
      <c r="C84" s="634" t="s">
        <v>879</v>
      </c>
      <c r="D84" s="634" t="s">
        <v>106</v>
      </c>
      <c r="E84" s="635" t="s">
        <v>878</v>
      </c>
      <c r="F84" s="630"/>
    </row>
    <row r="85" spans="1:8" s="627" customFormat="1" ht="51">
      <c r="A85" s="682">
        <v>1</v>
      </c>
      <c r="B85" s="669" t="s">
        <v>896</v>
      </c>
      <c r="C85" s="662" t="s">
        <v>953</v>
      </c>
      <c r="D85" s="740" t="e">
        <f>VLOOKUP($F$1,#REF!,COLUMN(#REF!))</f>
        <v>#REF!</v>
      </c>
      <c r="E85" s="730" t="s">
        <v>873</v>
      </c>
      <c r="F85" s="630"/>
    </row>
    <row r="86" spans="1:8" s="627" customFormat="1" ht="25.5">
      <c r="A86" s="663">
        <v>2</v>
      </c>
      <c r="B86" s="687" t="s">
        <v>932</v>
      </c>
      <c r="C86" s="643" t="s">
        <v>953</v>
      </c>
      <c r="D86" s="733"/>
      <c r="E86" s="732" t="s">
        <v>873</v>
      </c>
      <c r="F86" s="630"/>
    </row>
    <row r="87" spans="1:8" s="627" customFormat="1" ht="25.5">
      <c r="A87" s="663">
        <v>3</v>
      </c>
      <c r="B87" s="687" t="s">
        <v>931</v>
      </c>
      <c r="C87" s="643" t="s">
        <v>953</v>
      </c>
      <c r="D87" s="733"/>
      <c r="E87" s="732" t="s">
        <v>873</v>
      </c>
      <c r="F87" s="630"/>
    </row>
    <row r="88" spans="1:8" s="627" customFormat="1" ht="25.5">
      <c r="A88" s="663">
        <v>4</v>
      </c>
      <c r="B88" s="687" t="s">
        <v>930</v>
      </c>
      <c r="C88" s="643" t="s">
        <v>894</v>
      </c>
      <c r="D88" s="733"/>
      <c r="E88" s="732" t="s">
        <v>873</v>
      </c>
      <c r="F88" s="630"/>
    </row>
    <row r="89" spans="1:8" s="627" customFormat="1" ht="25.5">
      <c r="A89" s="663">
        <v>5</v>
      </c>
      <c r="B89" s="687" t="s">
        <v>929</v>
      </c>
      <c r="C89" s="643" t="s">
        <v>759</v>
      </c>
      <c r="D89" s="733"/>
      <c r="E89" s="732" t="s">
        <v>873</v>
      </c>
      <c r="F89" s="630"/>
    </row>
    <row r="90" spans="1:8" s="627" customFormat="1" ht="15.75">
      <c r="A90" s="663">
        <v>6</v>
      </c>
      <c r="B90" s="687" t="s">
        <v>928</v>
      </c>
      <c r="C90" s="643" t="s">
        <v>953</v>
      </c>
      <c r="D90" s="733"/>
      <c r="E90" s="732" t="s">
        <v>873</v>
      </c>
      <c r="F90" s="630"/>
    </row>
    <row r="91" spans="1:8" s="627" customFormat="1" ht="25.5">
      <c r="A91" s="663">
        <v>7</v>
      </c>
      <c r="B91" s="687" t="s">
        <v>927</v>
      </c>
      <c r="C91" s="643" t="s">
        <v>891</v>
      </c>
      <c r="D91" s="733"/>
      <c r="E91" s="732" t="s">
        <v>873</v>
      </c>
      <c r="F91" s="630"/>
    </row>
    <row r="92" spans="1:8" s="627" customFormat="1" ht="15.75">
      <c r="A92" s="663">
        <v>8</v>
      </c>
      <c r="B92" s="687" t="s">
        <v>237</v>
      </c>
      <c r="C92" s="643" t="s">
        <v>870</v>
      </c>
      <c r="D92" s="733" t="s">
        <v>873</v>
      </c>
      <c r="E92" s="732"/>
      <c r="F92" s="630"/>
    </row>
    <row r="93" spans="1:8" s="627" customFormat="1" ht="25.5">
      <c r="A93" s="663">
        <v>9</v>
      </c>
      <c r="B93" s="687" t="s">
        <v>890</v>
      </c>
      <c r="C93" s="643" t="s">
        <v>889</v>
      </c>
      <c r="D93" s="733" t="s">
        <v>873</v>
      </c>
      <c r="E93" s="732"/>
      <c r="F93" s="630"/>
    </row>
    <row r="94" spans="1:8" s="627" customFormat="1" ht="15.75">
      <c r="A94" s="663">
        <v>10</v>
      </c>
      <c r="B94" s="687" t="s">
        <v>757</v>
      </c>
      <c r="C94" s="643" t="s">
        <v>889</v>
      </c>
      <c r="D94" s="733" t="s">
        <v>873</v>
      </c>
      <c r="E94" s="732"/>
      <c r="F94" s="630"/>
    </row>
    <row r="95" spans="1:8" s="627" customFormat="1" ht="15.75">
      <c r="A95" s="663">
        <v>11</v>
      </c>
      <c r="B95" s="687" t="s">
        <v>760</v>
      </c>
      <c r="C95" s="643" t="s">
        <v>870</v>
      </c>
      <c r="D95" s="733" t="s">
        <v>873</v>
      </c>
      <c r="E95" s="732"/>
      <c r="F95" s="630"/>
    </row>
    <row r="96" spans="1:8" s="627" customFormat="1" ht="16.5" thickBot="1">
      <c r="A96" s="670">
        <v>12</v>
      </c>
      <c r="B96" s="676" t="s">
        <v>888</v>
      </c>
      <c r="C96" s="648" t="s">
        <v>870</v>
      </c>
      <c r="D96" s="734" t="s">
        <v>873</v>
      </c>
      <c r="E96" s="735"/>
      <c r="F96" s="630"/>
    </row>
    <row r="97" spans="1:6" s="627" customFormat="1" ht="15.75">
      <c r="A97" s="659">
        <v>13</v>
      </c>
      <c r="B97" s="688" t="s">
        <v>754</v>
      </c>
      <c r="C97" s="639" t="s">
        <v>870</v>
      </c>
      <c r="D97" s="736" t="s">
        <v>873</v>
      </c>
      <c r="E97" s="737"/>
      <c r="F97" s="630"/>
    </row>
    <row r="98" spans="1:6" s="627" customFormat="1" ht="16.5" thickBot="1">
      <c r="A98" s="666">
        <v>14</v>
      </c>
      <c r="B98" s="689" t="s">
        <v>958</v>
      </c>
      <c r="C98" s="656" t="s">
        <v>955</v>
      </c>
      <c r="D98" s="738" t="s">
        <v>873</v>
      </c>
      <c r="E98" s="739"/>
      <c r="F98" s="630"/>
    </row>
    <row r="99" spans="1:6" s="627" customFormat="1" ht="15.75">
      <c r="A99" s="772"/>
      <c r="B99" s="762"/>
      <c r="C99" s="630"/>
      <c r="D99" s="630"/>
      <c r="E99" s="630"/>
      <c r="F99" s="630"/>
    </row>
    <row r="100" spans="1:6" s="627" customFormat="1" ht="81" customHeight="1">
      <c r="A100" s="772"/>
      <c r="B100" s="804" t="s">
        <v>1031</v>
      </c>
      <c r="C100" s="804"/>
      <c r="D100" s="804"/>
      <c r="E100" s="804"/>
      <c r="F100" s="630"/>
    </row>
    <row r="101" spans="1:6" s="627" customFormat="1" ht="18">
      <c r="A101" s="772"/>
      <c r="B101" s="1" t="s">
        <v>1032</v>
      </c>
      <c r="C101" s="630"/>
      <c r="D101" s="630"/>
      <c r="E101" s="630"/>
      <c r="F101" s="630"/>
    </row>
    <row r="102" spans="1:6" s="627" customFormat="1" ht="15.75">
      <c r="A102" s="772"/>
      <c r="B102" s="773" t="s">
        <v>1001</v>
      </c>
      <c r="C102" s="630"/>
      <c r="D102" s="630"/>
      <c r="E102" s="630"/>
      <c r="F102" s="630"/>
    </row>
    <row r="103" spans="1:6" s="627" customFormat="1" ht="18">
      <c r="A103" s="772"/>
      <c r="B103" s="1" t="s">
        <v>1033</v>
      </c>
      <c r="C103" s="630"/>
      <c r="D103" s="630"/>
      <c r="E103" s="630"/>
      <c r="F103" s="630"/>
    </row>
    <row r="104" spans="1:6" s="627" customFormat="1" ht="18">
      <c r="A104" s="772"/>
      <c r="B104" s="1" t="s">
        <v>1034</v>
      </c>
      <c r="C104" s="630"/>
      <c r="D104" s="630"/>
      <c r="E104" s="630"/>
      <c r="F104" s="630"/>
    </row>
    <row r="105" spans="1:6" s="627" customFormat="1" ht="18">
      <c r="A105" s="772"/>
      <c r="B105" s="1" t="s">
        <v>1035</v>
      </c>
      <c r="C105" s="630"/>
      <c r="D105" s="630"/>
      <c r="E105" s="630"/>
      <c r="F105" s="630"/>
    </row>
    <row r="106" spans="1:6" s="627" customFormat="1" ht="15.75">
      <c r="A106" s="772"/>
      <c r="B106" s="1" t="s">
        <v>1002</v>
      </c>
      <c r="C106" s="630"/>
      <c r="D106" s="630"/>
      <c r="E106" s="630"/>
      <c r="F106" s="630"/>
    </row>
    <row r="107" spans="1:6" s="627" customFormat="1" ht="15.75">
      <c r="A107" s="772"/>
      <c r="B107" s="1" t="s">
        <v>1036</v>
      </c>
      <c r="C107" s="630"/>
      <c r="D107" s="630"/>
      <c r="E107" s="630"/>
      <c r="F107" s="630"/>
    </row>
    <row r="108" spans="1:6" s="627" customFormat="1" ht="15.75">
      <c r="A108" s="772"/>
      <c r="B108" s="1" t="s">
        <v>1004</v>
      </c>
      <c r="C108" s="630"/>
      <c r="D108" s="630"/>
      <c r="E108" s="630"/>
      <c r="F108" s="630"/>
    </row>
    <row r="109" spans="1:6" s="627" customFormat="1" ht="15.75">
      <c r="A109" s="772"/>
      <c r="B109" s="1" t="s">
        <v>1005</v>
      </c>
      <c r="C109" s="630"/>
      <c r="D109" s="630"/>
      <c r="E109" s="630"/>
      <c r="F109" s="630"/>
    </row>
    <row r="110" spans="1:6" s="627" customFormat="1" ht="15.75">
      <c r="A110" s="772"/>
      <c r="B110" s="1" t="s">
        <v>1006</v>
      </c>
      <c r="C110" s="630"/>
      <c r="D110" s="630"/>
      <c r="E110" s="630"/>
      <c r="F110" s="630"/>
    </row>
    <row r="111" spans="1:6" s="627" customFormat="1" ht="15.75">
      <c r="A111" s="772"/>
      <c r="B111" s="774" t="s">
        <v>1007</v>
      </c>
      <c r="C111" s="630"/>
      <c r="D111" s="630"/>
      <c r="E111" s="630"/>
      <c r="F111" s="630"/>
    </row>
    <row r="112" spans="1:6" s="627" customFormat="1" ht="15.75">
      <c r="A112" s="772"/>
      <c r="B112" s="1" t="s">
        <v>1008</v>
      </c>
      <c r="C112" s="630"/>
      <c r="D112" s="630"/>
      <c r="E112" s="630"/>
      <c r="F112" s="630"/>
    </row>
    <row r="113" spans="1:6" s="627" customFormat="1" ht="18">
      <c r="A113" s="772"/>
      <c r="B113" s="1" t="s">
        <v>1033</v>
      </c>
      <c r="C113" s="630"/>
      <c r="D113" s="630"/>
      <c r="E113" s="630"/>
      <c r="F113" s="630"/>
    </row>
    <row r="114" spans="1:6" s="627" customFormat="1" ht="18">
      <c r="A114" s="772"/>
      <c r="B114" s="1" t="s">
        <v>1037</v>
      </c>
      <c r="C114" s="630"/>
      <c r="D114" s="630"/>
      <c r="E114" s="630"/>
      <c r="F114" s="630"/>
    </row>
    <row r="115" spans="1:6" s="627" customFormat="1" ht="18">
      <c r="A115" s="772"/>
      <c r="B115" s="1" t="s">
        <v>1038</v>
      </c>
      <c r="C115" s="630"/>
      <c r="D115" s="630"/>
      <c r="E115" s="630"/>
      <c r="F115" s="630"/>
    </row>
    <row r="116" spans="1:6" s="627" customFormat="1" ht="15.75">
      <c r="A116" s="772"/>
      <c r="B116" s="1" t="s">
        <v>1009</v>
      </c>
      <c r="C116" s="630"/>
      <c r="D116" s="630"/>
      <c r="E116" s="630"/>
      <c r="F116" s="630"/>
    </row>
    <row r="117" spans="1:6" s="627" customFormat="1" ht="15.75">
      <c r="A117" s="772"/>
      <c r="B117" s="1" t="s">
        <v>1003</v>
      </c>
      <c r="C117" s="630"/>
      <c r="D117" s="630"/>
      <c r="E117" s="630"/>
      <c r="F117" s="630"/>
    </row>
    <row r="118" spans="1:6" s="627" customFormat="1" ht="15.75">
      <c r="A118" s="772"/>
      <c r="B118" s="1" t="s">
        <v>1004</v>
      </c>
      <c r="C118" s="630"/>
      <c r="D118" s="630"/>
      <c r="E118" s="630"/>
      <c r="F118" s="630"/>
    </row>
    <row r="119" spans="1:6" s="627" customFormat="1" ht="15.75">
      <c r="A119" s="772"/>
      <c r="B119" s="1" t="s">
        <v>1010</v>
      </c>
      <c r="C119" s="630"/>
      <c r="D119" s="630"/>
      <c r="E119" s="630"/>
      <c r="F119" s="630"/>
    </row>
    <row r="120" spans="1:6" s="627" customFormat="1" ht="15.75">
      <c r="A120" s="772"/>
      <c r="B120" s="1" t="s">
        <v>1006</v>
      </c>
      <c r="C120" s="630"/>
      <c r="D120" s="630"/>
      <c r="E120" s="630"/>
      <c r="F120" s="630"/>
    </row>
    <row r="121" spans="1:6" s="627" customFormat="1" ht="15.75">
      <c r="A121" s="772"/>
      <c r="B121" s="774" t="s">
        <v>1007</v>
      </c>
      <c r="C121" s="630"/>
      <c r="D121" s="630"/>
      <c r="E121" s="630"/>
      <c r="F121" s="630"/>
    </row>
    <row r="122" spans="1:6" s="627" customFormat="1" ht="15.75">
      <c r="A122" s="772"/>
      <c r="B122" s="774" t="s">
        <v>1039</v>
      </c>
      <c r="C122" s="630"/>
      <c r="D122" s="630"/>
      <c r="E122" s="630"/>
      <c r="F122" s="630"/>
    </row>
    <row r="123" spans="1:6" s="627" customFormat="1" ht="15.75">
      <c r="A123" s="772"/>
      <c r="B123" s="775" t="s">
        <v>1011</v>
      </c>
      <c r="C123" s="630"/>
      <c r="D123" s="630"/>
      <c r="E123" s="630"/>
      <c r="F123" s="630"/>
    </row>
    <row r="124" spans="1:6" s="627" customFormat="1" ht="15.75">
      <c r="A124" s="772"/>
      <c r="B124" s="775" t="s">
        <v>1012</v>
      </c>
      <c r="C124" s="630"/>
      <c r="D124" s="630"/>
      <c r="E124" s="630"/>
      <c r="F124" s="630"/>
    </row>
    <row r="125" spans="1:6" s="627" customFormat="1" ht="15.75">
      <c r="A125" s="772"/>
      <c r="B125" s="774" t="s">
        <v>1013</v>
      </c>
      <c r="C125" s="630"/>
      <c r="D125" s="630"/>
      <c r="E125" s="630"/>
      <c r="F125" s="630"/>
    </row>
    <row r="126" spans="1:6" s="627" customFormat="1" ht="15.75">
      <c r="A126" s="772"/>
      <c r="B126" s="773" t="s">
        <v>1014</v>
      </c>
      <c r="C126" s="630"/>
      <c r="D126" s="630"/>
      <c r="E126" s="630"/>
      <c r="F126" s="630"/>
    </row>
    <row r="127" spans="1:6" s="627" customFormat="1" ht="15.75">
      <c r="A127" s="772"/>
      <c r="B127" s="774" t="s">
        <v>1015</v>
      </c>
      <c r="C127" s="630"/>
      <c r="D127" s="630"/>
      <c r="E127" s="630"/>
      <c r="F127" s="630"/>
    </row>
    <row r="128" spans="1:6" s="627" customFormat="1" ht="18">
      <c r="A128" s="772"/>
      <c r="B128" s="1" t="s">
        <v>1040</v>
      </c>
      <c r="C128" s="630"/>
      <c r="D128" s="630"/>
      <c r="E128" s="630"/>
      <c r="F128" s="630"/>
    </row>
    <row r="129" spans="1:6" s="627" customFormat="1" ht="15.75">
      <c r="A129" s="772"/>
      <c r="B129" s="774" t="s">
        <v>1016</v>
      </c>
      <c r="C129" s="630"/>
      <c r="D129" s="630"/>
      <c r="E129" s="630"/>
      <c r="F129" s="630"/>
    </row>
    <row r="130" spans="1:6" s="627" customFormat="1" ht="15.75">
      <c r="A130" s="772"/>
      <c r="B130" s="1" t="s">
        <v>1017</v>
      </c>
      <c r="C130" s="630"/>
      <c r="D130" s="630"/>
      <c r="E130" s="630"/>
      <c r="F130" s="630"/>
    </row>
    <row r="131" spans="1:6" s="627" customFormat="1" ht="18">
      <c r="A131" s="772"/>
      <c r="B131" s="1" t="s">
        <v>1041</v>
      </c>
      <c r="C131" s="630"/>
      <c r="D131" s="630"/>
      <c r="E131" s="630"/>
      <c r="F131" s="630"/>
    </row>
    <row r="132" spans="1:6" s="627" customFormat="1" ht="15.75">
      <c r="A132" s="772"/>
      <c r="B132" s="774" t="s">
        <v>1018</v>
      </c>
      <c r="C132" s="630"/>
      <c r="D132" s="630"/>
      <c r="E132" s="630"/>
      <c r="F132" s="630"/>
    </row>
    <row r="133" spans="1:6" s="627" customFormat="1" ht="15.75">
      <c r="A133" s="772"/>
      <c r="B133" s="1" t="s">
        <v>1042</v>
      </c>
      <c r="C133" s="630"/>
      <c r="D133" s="630"/>
      <c r="E133" s="630"/>
      <c r="F133" s="630"/>
    </row>
    <row r="134" spans="1:6" s="627" customFormat="1" ht="15.75">
      <c r="A134" s="772"/>
      <c r="B134" s="1" t="s">
        <v>1019</v>
      </c>
      <c r="C134" s="630"/>
      <c r="D134" s="630"/>
      <c r="E134" s="630"/>
      <c r="F134" s="630"/>
    </row>
    <row r="135" spans="1:6" s="627" customFormat="1" ht="18">
      <c r="A135" s="772"/>
      <c r="B135" s="1" t="s">
        <v>1043</v>
      </c>
      <c r="C135" s="630"/>
      <c r="D135" s="630"/>
      <c r="E135" s="630"/>
      <c r="F135" s="630"/>
    </row>
    <row r="136" spans="1:6" s="627" customFormat="1" ht="15.75">
      <c r="A136" s="772"/>
      <c r="B136" s="774" t="s">
        <v>1020</v>
      </c>
      <c r="C136" s="630"/>
      <c r="D136" s="630"/>
      <c r="E136" s="630"/>
      <c r="F136" s="630"/>
    </row>
    <row r="137" spans="1:6" s="627" customFormat="1" ht="15.75">
      <c r="A137" s="772"/>
      <c r="B137" s="1" t="s">
        <v>1021</v>
      </c>
      <c r="C137" s="630"/>
      <c r="D137" s="630"/>
      <c r="E137" s="630"/>
      <c r="F137" s="630"/>
    </row>
    <row r="138" spans="1:6" s="627" customFormat="1" ht="15.75">
      <c r="A138" s="772"/>
      <c r="B138" s="1" t="s">
        <v>1022</v>
      </c>
      <c r="C138" s="630"/>
      <c r="D138" s="630"/>
      <c r="E138" s="630"/>
      <c r="F138" s="630"/>
    </row>
    <row r="139" spans="1:6" s="627" customFormat="1" ht="15.75">
      <c r="A139" s="772"/>
      <c r="B139" s="1" t="s">
        <v>1023</v>
      </c>
      <c r="C139" s="630"/>
      <c r="D139" s="630"/>
      <c r="E139" s="630"/>
      <c r="F139" s="630"/>
    </row>
    <row r="140" spans="1:6" s="627" customFormat="1" ht="15.75">
      <c r="A140" s="772"/>
      <c r="B140" s="1" t="s">
        <v>1024</v>
      </c>
      <c r="C140" s="630"/>
      <c r="D140" s="630"/>
      <c r="E140" s="630"/>
      <c r="F140" s="630"/>
    </row>
    <row r="141" spans="1:6" s="627" customFormat="1" ht="15.75">
      <c r="A141" s="772"/>
      <c r="B141" s="1" t="s">
        <v>1025</v>
      </c>
      <c r="C141" s="630"/>
      <c r="D141" s="630"/>
      <c r="E141" s="630"/>
      <c r="F141" s="630"/>
    </row>
    <row r="142" spans="1:6" s="627" customFormat="1" ht="15.75">
      <c r="A142" s="772"/>
      <c r="B142" s="1" t="s">
        <v>1026</v>
      </c>
      <c r="C142" s="630"/>
      <c r="D142" s="630"/>
      <c r="E142" s="630"/>
      <c r="F142" s="630"/>
    </row>
    <row r="143" spans="1:6" s="627" customFormat="1" ht="15.75">
      <c r="A143" s="772"/>
      <c r="B143" s="1" t="s">
        <v>1027</v>
      </c>
      <c r="C143" s="630"/>
      <c r="D143" s="630"/>
      <c r="E143" s="630"/>
      <c r="F143" s="630"/>
    </row>
    <row r="144" spans="1:6" s="627" customFormat="1" ht="15.75">
      <c r="A144" s="772"/>
      <c r="B144" s="1" t="s">
        <v>1028</v>
      </c>
      <c r="C144" s="630"/>
      <c r="D144" s="630"/>
      <c r="E144" s="630"/>
      <c r="F144" s="630"/>
    </row>
    <row r="145" spans="1:6" s="627" customFormat="1" ht="15.75" customHeight="1">
      <c r="A145" s="772"/>
      <c r="B145" s="1" t="s">
        <v>1029</v>
      </c>
      <c r="C145" s="630"/>
      <c r="D145" s="630"/>
      <c r="E145" s="630"/>
      <c r="F145" s="630"/>
    </row>
    <row r="146" spans="1:6" s="627" customFormat="1" ht="18">
      <c r="A146" s="772"/>
      <c r="B146" s="1" t="s">
        <v>1032</v>
      </c>
      <c r="C146" s="630"/>
      <c r="D146" s="630"/>
      <c r="E146" s="630"/>
      <c r="F146" s="630"/>
    </row>
    <row r="147" spans="1:6" s="627" customFormat="1" ht="15.75" customHeight="1">
      <c r="A147" s="772"/>
      <c r="B147" s="1" t="s">
        <v>1030</v>
      </c>
      <c r="C147" s="630"/>
      <c r="D147" s="630"/>
      <c r="E147" s="630"/>
      <c r="F147" s="630"/>
    </row>
    <row r="148" spans="1:6" s="627" customFormat="1" ht="15.75">
      <c r="A148" s="772"/>
      <c r="B148" s="762"/>
      <c r="C148" s="630"/>
      <c r="D148" s="630"/>
      <c r="E148" s="630"/>
      <c r="F148" s="630"/>
    </row>
    <row r="149" spans="1:6" s="627" customFormat="1" ht="15.75" customHeight="1">
      <c r="A149" s="772"/>
      <c r="B149" s="762"/>
      <c r="C149" s="630"/>
      <c r="D149" s="630"/>
      <c r="E149" s="630"/>
      <c r="F149" s="630"/>
    </row>
    <row r="150" spans="1:6" s="627" customFormat="1" ht="15.75" customHeight="1">
      <c r="A150" s="772"/>
      <c r="B150" s="762"/>
      <c r="C150" s="630"/>
      <c r="D150" s="630"/>
      <c r="E150" s="630"/>
      <c r="F150" s="630"/>
    </row>
    <row r="151" spans="1:6" s="627" customFormat="1" ht="15.75" customHeight="1">
      <c r="A151" s="772"/>
      <c r="B151" s="762"/>
      <c r="C151" s="630"/>
      <c r="D151" s="630"/>
      <c r="E151" s="630"/>
      <c r="F151" s="630"/>
    </row>
    <row r="152" spans="1:6" s="627" customFormat="1" ht="15.75">
      <c r="A152" s="772"/>
      <c r="B152" s="762"/>
      <c r="C152" s="630"/>
      <c r="D152" s="630"/>
      <c r="E152" s="630"/>
      <c r="F152" s="630"/>
    </row>
    <row r="153" spans="1:6" s="627" customFormat="1" ht="15.75" customHeight="1">
      <c r="A153" s="772"/>
      <c r="B153" s="762"/>
      <c r="C153" s="630"/>
      <c r="D153" s="630"/>
      <c r="E153" s="630"/>
      <c r="F153" s="630"/>
    </row>
    <row r="154" spans="1:6" s="627" customFormat="1" ht="15.75" customHeight="1">
      <c r="A154" s="772"/>
      <c r="B154" s="762"/>
      <c r="C154" s="630"/>
      <c r="D154" s="630"/>
      <c r="E154" s="630"/>
      <c r="F154" s="630"/>
    </row>
    <row r="155" spans="1:6" s="627" customFormat="1" ht="15.75" customHeight="1">
      <c r="A155" s="772"/>
      <c r="B155" s="762"/>
      <c r="C155" s="630"/>
      <c r="D155" s="630"/>
      <c r="E155" s="630"/>
      <c r="F155" s="630"/>
    </row>
    <row r="156" spans="1:6" s="627" customFormat="1" ht="15.75" customHeight="1">
      <c r="A156" s="772"/>
      <c r="B156" s="762"/>
      <c r="C156" s="630"/>
      <c r="D156" s="630"/>
      <c r="E156" s="630"/>
      <c r="F156" s="630"/>
    </row>
    <row r="157" spans="1:6" s="627" customFormat="1" ht="15.75">
      <c r="A157" s="772"/>
      <c r="B157" s="762"/>
      <c r="C157" s="630"/>
      <c r="D157" s="630"/>
      <c r="E157" s="630"/>
      <c r="F157" s="630"/>
    </row>
    <row r="158" spans="1:6" s="627" customFormat="1" ht="15.75" customHeight="1">
      <c r="A158" s="772"/>
      <c r="B158" s="762"/>
      <c r="C158" s="630"/>
      <c r="D158" s="630"/>
      <c r="E158" s="630"/>
      <c r="F158" s="630"/>
    </row>
    <row r="159" spans="1:6" s="627" customFormat="1" ht="15.75">
      <c r="A159" s="772"/>
      <c r="B159" s="762"/>
      <c r="C159" s="630"/>
      <c r="D159" s="630"/>
      <c r="E159" s="630"/>
      <c r="F159" s="630"/>
    </row>
    <row r="160" spans="1:6" s="627" customFormat="1" ht="15.75" customHeight="1">
      <c r="A160" s="772"/>
      <c r="B160" s="762"/>
      <c r="C160" s="630"/>
      <c r="D160" s="630"/>
      <c r="E160" s="630"/>
      <c r="F160" s="630"/>
    </row>
    <row r="161" spans="1:8" s="627" customFormat="1" ht="15.75" customHeight="1">
      <c r="A161" s="772"/>
      <c r="B161" s="762"/>
      <c r="C161" s="630"/>
      <c r="D161" s="630"/>
      <c r="E161" s="630"/>
      <c r="F161" s="630"/>
    </row>
    <row r="162" spans="1:8" s="627" customFormat="1" ht="15.75" customHeight="1">
      <c r="A162" s="772"/>
      <c r="B162" s="762"/>
      <c r="C162" s="630"/>
      <c r="D162" s="630"/>
      <c r="E162" s="630"/>
      <c r="F162" s="630"/>
    </row>
    <row r="163" spans="1:8" s="627" customFormat="1" ht="15.75">
      <c r="A163" s="772"/>
      <c r="B163" s="762"/>
      <c r="C163" s="630"/>
      <c r="D163" s="630"/>
      <c r="E163" s="630"/>
      <c r="F163" s="630"/>
    </row>
    <row r="164" spans="1:8" s="627" customFormat="1" ht="16.5" thickBot="1">
      <c r="A164" s="628"/>
      <c r="B164" s="629"/>
      <c r="C164" s="630"/>
      <c r="D164" s="630"/>
      <c r="E164" s="630"/>
      <c r="F164" s="630"/>
    </row>
    <row r="165" spans="1:8" s="627" customFormat="1" ht="16.5" customHeight="1" thickBot="1">
      <c r="A165" s="809" t="s">
        <v>817</v>
      </c>
      <c r="B165" s="810"/>
      <c r="C165" s="810"/>
      <c r="D165" s="810"/>
      <c r="E165" s="811"/>
      <c r="F165" s="630"/>
    </row>
    <row r="166" spans="1:8" s="627" customFormat="1" ht="26.25" thickBot="1">
      <c r="A166" s="634" t="s">
        <v>820</v>
      </c>
      <c r="B166" s="658" t="s">
        <v>880</v>
      </c>
      <c r="C166" s="633" t="s">
        <v>879</v>
      </c>
      <c r="D166" s="634" t="s">
        <v>106</v>
      </c>
      <c r="E166" s="635" t="s">
        <v>878</v>
      </c>
      <c r="F166" s="630"/>
    </row>
    <row r="167" spans="1:8" s="627" customFormat="1" ht="51">
      <c r="A167" s="682">
        <v>1</v>
      </c>
      <c r="B167" s="669" t="s">
        <v>896</v>
      </c>
      <c r="C167" s="690" t="s">
        <v>953</v>
      </c>
      <c r="D167" s="639" t="e">
        <f>VLOOKUP($F$1,#REF!,COLUMN(#REF!))</f>
        <v>#REF!</v>
      </c>
      <c r="E167" s="652" t="s">
        <v>873</v>
      </c>
      <c r="F167" s="630"/>
    </row>
    <row r="168" spans="1:8" s="627" customFormat="1" ht="15.75">
      <c r="A168" s="663">
        <v>2</v>
      </c>
      <c r="B168" s="687" t="s">
        <v>922</v>
      </c>
      <c r="C168" s="679" t="s">
        <v>953</v>
      </c>
      <c r="D168" s="643" t="e">
        <f>IF(ISNA(MATCH($F$1,#REF!,0)),"нет такого кода",INDEX(#REF!,MATCH(Послуги!$F$1,#REF!,0)))</f>
        <v>#REF!</v>
      </c>
      <c r="E168" s="644" t="s">
        <v>873</v>
      </c>
      <c r="F168" s="630"/>
    </row>
    <row r="169" spans="1:8" s="627" customFormat="1" ht="15.75">
      <c r="A169" s="663">
        <v>3</v>
      </c>
      <c r="B169" s="687" t="s">
        <v>926</v>
      </c>
      <c r="C169" s="679" t="s">
        <v>759</v>
      </c>
      <c r="D169" s="643" t="e">
        <f>IF(ISNA(MATCH($F$1,#REF!,0)),"нет такого кода",INDEX(#REF!,MATCH(Послуги!$F$1,#REF!,0)))</f>
        <v>#REF!</v>
      </c>
      <c r="E169" s="644" t="s">
        <v>873</v>
      </c>
      <c r="F169" s="630"/>
    </row>
    <row r="170" spans="1:8" s="627" customFormat="1" ht="15.75">
      <c r="A170" s="663">
        <v>4</v>
      </c>
      <c r="B170" s="687" t="s">
        <v>925</v>
      </c>
      <c r="C170" s="679" t="s">
        <v>955</v>
      </c>
      <c r="D170" s="643" t="s">
        <v>873</v>
      </c>
      <c r="E170" s="644" t="e">
        <f>#REF!</f>
        <v>#REF!</v>
      </c>
      <c r="F170" s="630"/>
    </row>
    <row r="171" spans="1:8" s="627" customFormat="1" ht="25.5">
      <c r="A171" s="670">
        <v>5</v>
      </c>
      <c r="B171" s="687" t="s">
        <v>924</v>
      </c>
      <c r="C171" s="680" t="s">
        <v>923</v>
      </c>
      <c r="D171" s="648" t="s">
        <v>873</v>
      </c>
      <c r="E171" s="649">
        <v>0</v>
      </c>
      <c r="F171" s="630"/>
    </row>
    <row r="172" spans="1:8" s="627" customFormat="1" ht="15.75">
      <c r="A172" s="670">
        <v>6</v>
      </c>
      <c r="B172" s="762" t="s">
        <v>999</v>
      </c>
      <c r="C172" s="680" t="s">
        <v>1000</v>
      </c>
      <c r="D172" s="648" t="s">
        <v>41</v>
      </c>
      <c r="E172" s="649">
        <v>2</v>
      </c>
      <c r="F172" s="630"/>
    </row>
    <row r="173" spans="1:8" s="627" customFormat="1" ht="16.5" thickBot="1">
      <c r="A173" s="670">
        <v>7</v>
      </c>
      <c r="B173" s="676" t="s">
        <v>888</v>
      </c>
      <c r="C173" s="648" t="s">
        <v>870</v>
      </c>
      <c r="D173" s="647" t="s">
        <v>873</v>
      </c>
      <c r="E173" s="741" t="e">
        <f>D168*E170*E172</f>
        <v>#REF!</v>
      </c>
      <c r="F173" s="630"/>
    </row>
    <row r="174" spans="1:8" s="627" customFormat="1" ht="15.75">
      <c r="A174" s="659">
        <v>8</v>
      </c>
      <c r="B174" s="669" t="s">
        <v>754</v>
      </c>
      <c r="C174" s="651" t="s">
        <v>870</v>
      </c>
      <c r="D174" s="639" t="s">
        <v>873</v>
      </c>
      <c r="E174" s="723" t="e">
        <f>SUM(E173)</f>
        <v>#REF!</v>
      </c>
      <c r="F174" s="630"/>
    </row>
    <row r="175" spans="1:8" s="627" customFormat="1" ht="16.5" thickBot="1">
      <c r="A175" s="666">
        <v>9</v>
      </c>
      <c r="B175" s="691" t="s">
        <v>954</v>
      </c>
      <c r="C175" s="655" t="s">
        <v>955</v>
      </c>
      <c r="D175" s="656" t="s">
        <v>873</v>
      </c>
      <c r="E175" s="726" t="e">
        <f>E174/D167</f>
        <v>#REF!</v>
      </c>
      <c r="F175" s="630"/>
      <c r="G175" s="757" t="e">
        <f>IF(ISNA(MATCH($F$1,#REF!,0)),"нет такого кода",INDEX(#REF!,MATCH(Послуги!$F$1,#REF!,0)))</f>
        <v>#REF!</v>
      </c>
      <c r="H175" s="757" t="e">
        <f>E175-G175</f>
        <v>#REF!</v>
      </c>
    </row>
    <row r="176" spans="1:8" s="627" customFormat="1" ht="16.5" thickBot="1">
      <c r="A176" s="628"/>
      <c r="B176" s="629"/>
      <c r="C176" s="630"/>
      <c r="D176" s="630"/>
      <c r="E176" s="630"/>
      <c r="F176" s="630"/>
    </row>
    <row r="177" spans="1:6" s="627" customFormat="1" ht="16.5" thickBot="1">
      <c r="A177" s="809" t="s">
        <v>773</v>
      </c>
      <c r="B177" s="810"/>
      <c r="C177" s="810"/>
      <c r="D177" s="810"/>
      <c r="E177" s="811"/>
      <c r="F177" s="630"/>
    </row>
    <row r="178" spans="1:6" s="627" customFormat="1" ht="26.25" thickBot="1">
      <c r="A178" s="631" t="s">
        <v>820</v>
      </c>
      <c r="B178" s="658" t="s">
        <v>880</v>
      </c>
      <c r="C178" s="633" t="s">
        <v>879</v>
      </c>
      <c r="D178" s="634" t="s">
        <v>106</v>
      </c>
      <c r="E178" s="635" t="s">
        <v>878</v>
      </c>
      <c r="F178" s="630"/>
    </row>
    <row r="179" spans="1:6" s="627" customFormat="1" ht="51">
      <c r="A179" s="636">
        <v>1</v>
      </c>
      <c r="B179" s="669" t="s">
        <v>896</v>
      </c>
      <c r="C179" s="690" t="s">
        <v>959</v>
      </c>
      <c r="D179" s="639" t="e">
        <f>VLOOKUP($F$1,#REF!,COLUMN(#REF!))</f>
        <v>#REF!</v>
      </c>
      <c r="E179" s="652" t="s">
        <v>873</v>
      </c>
      <c r="F179" s="630"/>
    </row>
    <row r="180" spans="1:6" s="627" customFormat="1" ht="15.75">
      <c r="A180" s="641">
        <v>2</v>
      </c>
      <c r="B180" s="692" t="s">
        <v>922</v>
      </c>
      <c r="C180" s="679" t="s">
        <v>959</v>
      </c>
      <c r="D180" s="643" t="e">
        <f>IF(ISNA(MATCH($F$1,#REF!,0)),"нет такого кода",INDEX(#REF!,MATCH(Послуги!$F$1,#REF!,0)))</f>
        <v>#REF!</v>
      </c>
      <c r="E180" s="644" t="s">
        <v>873</v>
      </c>
      <c r="F180" s="630"/>
    </row>
    <row r="181" spans="1:6" s="627" customFormat="1" ht="26.25" thickBot="1">
      <c r="A181" s="645">
        <v>3</v>
      </c>
      <c r="B181" s="671" t="s">
        <v>921</v>
      </c>
      <c r="C181" s="680" t="s">
        <v>960</v>
      </c>
      <c r="D181" s="648" t="s">
        <v>873</v>
      </c>
      <c r="E181" s="644" t="e">
        <f>#REF!</f>
        <v>#REF!</v>
      </c>
      <c r="F181" s="630"/>
    </row>
    <row r="182" spans="1:6" s="627" customFormat="1" ht="16.5" thickBot="1">
      <c r="A182" s="670">
        <v>6</v>
      </c>
      <c r="B182" s="676" t="s">
        <v>888</v>
      </c>
      <c r="C182" s="648" t="s">
        <v>870</v>
      </c>
      <c r="D182" s="647" t="s">
        <v>873</v>
      </c>
      <c r="E182" s="741" t="e">
        <f>D180*E181</f>
        <v>#REF!</v>
      </c>
      <c r="F182" s="630"/>
    </row>
    <row r="183" spans="1:6" s="627" customFormat="1" ht="15.75">
      <c r="A183" s="650">
        <v>4</v>
      </c>
      <c r="B183" s="669" t="s">
        <v>754</v>
      </c>
      <c r="C183" s="651" t="s">
        <v>870</v>
      </c>
      <c r="D183" s="639" t="s">
        <v>873</v>
      </c>
      <c r="E183" s="723" t="e">
        <f>D180*E181</f>
        <v>#REF!</v>
      </c>
      <c r="F183" s="630"/>
    </row>
    <row r="184" spans="1:6" s="627" customFormat="1" ht="16.5" thickBot="1">
      <c r="A184" s="653">
        <v>5</v>
      </c>
      <c r="B184" s="691" t="s">
        <v>954</v>
      </c>
      <c r="C184" s="655" t="s">
        <v>960</v>
      </c>
      <c r="D184" s="656" t="s">
        <v>873</v>
      </c>
      <c r="E184" s="726" t="e">
        <f>E183/D179</f>
        <v>#REF!</v>
      </c>
      <c r="F184" s="630"/>
    </row>
    <row r="185" spans="1:6" s="627" customFormat="1" ht="16.5" thickBot="1">
      <c r="A185" s="628"/>
      <c r="B185" s="629"/>
      <c r="C185" s="630"/>
      <c r="D185" s="630"/>
      <c r="E185" s="630"/>
      <c r="F185" s="630"/>
    </row>
    <row r="186" spans="1:6" s="627" customFormat="1" ht="16.5" thickBot="1">
      <c r="A186" s="809" t="s">
        <v>774</v>
      </c>
      <c r="B186" s="810"/>
      <c r="C186" s="810"/>
      <c r="D186" s="810"/>
      <c r="E186" s="811"/>
      <c r="F186" s="630"/>
    </row>
    <row r="187" spans="1:6" s="627" customFormat="1" ht="26.25" thickBot="1">
      <c r="A187" s="634" t="s">
        <v>820</v>
      </c>
      <c r="B187" s="658" t="s">
        <v>880</v>
      </c>
      <c r="C187" s="631" t="s">
        <v>879</v>
      </c>
      <c r="D187" s="634" t="s">
        <v>106</v>
      </c>
      <c r="E187" s="635" t="s">
        <v>878</v>
      </c>
      <c r="F187" s="630"/>
    </row>
    <row r="188" spans="1:6" s="627" customFormat="1" ht="51">
      <c r="A188" s="682">
        <v>1</v>
      </c>
      <c r="B188" s="687" t="s">
        <v>896</v>
      </c>
      <c r="C188" s="678" t="s">
        <v>953</v>
      </c>
      <c r="D188" s="662"/>
      <c r="E188" s="640" t="s">
        <v>873</v>
      </c>
      <c r="F188" s="630"/>
    </row>
    <row r="189" spans="1:6" s="627" customFormat="1" ht="15.75">
      <c r="A189" s="663">
        <v>2</v>
      </c>
      <c r="B189" s="687" t="s">
        <v>920</v>
      </c>
      <c r="C189" s="679" t="s">
        <v>759</v>
      </c>
      <c r="D189" s="643"/>
      <c r="E189" s="644" t="s">
        <v>873</v>
      </c>
      <c r="F189" s="630"/>
    </row>
    <row r="190" spans="1:6" s="627" customFormat="1" ht="15.75">
      <c r="A190" s="663">
        <v>3</v>
      </c>
      <c r="B190" s="687" t="s">
        <v>919</v>
      </c>
      <c r="C190" s="679" t="s">
        <v>759</v>
      </c>
      <c r="D190" s="643"/>
      <c r="E190" s="644" t="s">
        <v>873</v>
      </c>
      <c r="F190" s="630"/>
    </row>
    <row r="191" spans="1:6" s="627" customFormat="1" ht="25.5">
      <c r="A191" s="663">
        <v>4</v>
      </c>
      <c r="B191" s="687" t="s">
        <v>918</v>
      </c>
      <c r="C191" s="679" t="s">
        <v>759</v>
      </c>
      <c r="D191" s="643"/>
      <c r="E191" s="644" t="s">
        <v>873</v>
      </c>
      <c r="F191" s="630"/>
    </row>
    <row r="192" spans="1:6" s="627" customFormat="1" ht="38.25">
      <c r="A192" s="663">
        <v>5</v>
      </c>
      <c r="B192" s="687" t="s">
        <v>917</v>
      </c>
      <c r="C192" s="679" t="s">
        <v>759</v>
      </c>
      <c r="D192" s="643"/>
      <c r="E192" s="644" t="s">
        <v>873</v>
      </c>
      <c r="F192" s="630"/>
    </row>
    <row r="193" spans="1:6" s="627" customFormat="1" ht="15.75">
      <c r="A193" s="663">
        <v>6</v>
      </c>
      <c r="B193" s="687" t="s">
        <v>892</v>
      </c>
      <c r="C193" s="679" t="s">
        <v>891</v>
      </c>
      <c r="D193" s="643"/>
      <c r="E193" s="644" t="s">
        <v>873</v>
      </c>
      <c r="F193" s="630"/>
    </row>
    <row r="194" spans="1:6" s="627" customFormat="1" ht="15.75">
      <c r="A194" s="663">
        <v>7</v>
      </c>
      <c r="B194" s="687" t="s">
        <v>237</v>
      </c>
      <c r="C194" s="679" t="s">
        <v>870</v>
      </c>
      <c r="D194" s="643" t="s">
        <v>873</v>
      </c>
      <c r="E194" s="644"/>
      <c r="F194" s="630"/>
    </row>
    <row r="195" spans="1:6" s="627" customFormat="1" ht="25.5">
      <c r="A195" s="663">
        <v>8</v>
      </c>
      <c r="B195" s="687" t="s">
        <v>890</v>
      </c>
      <c r="C195" s="679" t="s">
        <v>889</v>
      </c>
      <c r="D195" s="643"/>
      <c r="E195" s="644"/>
      <c r="F195" s="630"/>
    </row>
    <row r="196" spans="1:6" s="627" customFormat="1" ht="15.75">
      <c r="A196" s="663">
        <v>9</v>
      </c>
      <c r="B196" s="687" t="s">
        <v>757</v>
      </c>
      <c r="C196" s="679" t="s">
        <v>889</v>
      </c>
      <c r="D196" s="643"/>
      <c r="E196" s="644"/>
      <c r="F196" s="630"/>
    </row>
    <row r="197" spans="1:6" s="627" customFormat="1" ht="15.75">
      <c r="A197" s="663">
        <v>10</v>
      </c>
      <c r="B197" s="660" t="s">
        <v>760</v>
      </c>
      <c r="C197" s="679" t="s">
        <v>870</v>
      </c>
      <c r="D197" s="643" t="s">
        <v>873</v>
      </c>
      <c r="E197" s="644"/>
      <c r="F197" s="630"/>
    </row>
    <row r="198" spans="1:6" s="627" customFormat="1" ht="16.5" thickBot="1">
      <c r="A198" s="670">
        <v>11</v>
      </c>
      <c r="B198" s="676" t="s">
        <v>888</v>
      </c>
      <c r="C198" s="680" t="s">
        <v>870</v>
      </c>
      <c r="D198" s="648" t="s">
        <v>873</v>
      </c>
      <c r="E198" s="649"/>
      <c r="F198" s="630"/>
    </row>
    <row r="199" spans="1:6" s="627" customFormat="1" ht="15.75">
      <c r="A199" s="659">
        <v>12</v>
      </c>
      <c r="B199" s="669" t="s">
        <v>754</v>
      </c>
      <c r="C199" s="651" t="s">
        <v>870</v>
      </c>
      <c r="D199" s="639" t="s">
        <v>873</v>
      </c>
      <c r="E199" s="652"/>
      <c r="F199" s="630"/>
    </row>
    <row r="200" spans="1:6" s="627" customFormat="1" ht="16.5" thickBot="1">
      <c r="A200" s="666">
        <v>13</v>
      </c>
      <c r="B200" s="691" t="s">
        <v>954</v>
      </c>
      <c r="C200" s="655" t="s">
        <v>955</v>
      </c>
      <c r="D200" s="656" t="s">
        <v>873</v>
      </c>
      <c r="E200" s="657"/>
      <c r="F200" s="630"/>
    </row>
    <row r="201" spans="1:6" s="627" customFormat="1" ht="16.5" thickBot="1">
      <c r="A201" s="628"/>
      <c r="B201" s="629"/>
      <c r="C201" s="630"/>
      <c r="D201" s="630"/>
      <c r="E201" s="630"/>
      <c r="F201" s="630"/>
    </row>
    <row r="202" spans="1:6" s="627" customFormat="1" ht="33" customHeight="1" thickBot="1">
      <c r="A202" s="824" t="s">
        <v>816</v>
      </c>
      <c r="B202" s="825"/>
      <c r="C202" s="825"/>
      <c r="D202" s="825"/>
      <c r="E202" s="826"/>
      <c r="F202" s="630"/>
    </row>
    <row r="203" spans="1:6" s="627" customFormat="1" ht="26.25" thickBot="1">
      <c r="A203" s="668" t="s">
        <v>820</v>
      </c>
      <c r="B203" s="677" t="s">
        <v>880</v>
      </c>
      <c r="C203" s="668" t="s">
        <v>879</v>
      </c>
      <c r="D203" s="668" t="s">
        <v>106</v>
      </c>
      <c r="E203" s="635" t="s">
        <v>878</v>
      </c>
      <c r="F203" s="630"/>
    </row>
    <row r="204" spans="1:6" s="627" customFormat="1" ht="51">
      <c r="A204" s="663">
        <v>1</v>
      </c>
      <c r="B204" s="637" t="s">
        <v>896</v>
      </c>
      <c r="C204" s="643" t="s">
        <v>953</v>
      </c>
      <c r="D204" s="643"/>
      <c r="E204" s="643" t="s">
        <v>873</v>
      </c>
      <c r="F204" s="630"/>
    </row>
    <row r="205" spans="1:6" s="627" customFormat="1" ht="15.75">
      <c r="A205" s="663">
        <v>2</v>
      </c>
      <c r="B205" s="693" t="s">
        <v>237</v>
      </c>
      <c r="C205" s="643" t="s">
        <v>870</v>
      </c>
      <c r="D205" s="643" t="s">
        <v>873</v>
      </c>
      <c r="E205" s="643"/>
      <c r="F205" s="630"/>
    </row>
    <row r="206" spans="1:6" s="627" customFormat="1" ht="25.5">
      <c r="A206" s="663">
        <v>3</v>
      </c>
      <c r="B206" s="693" t="s">
        <v>890</v>
      </c>
      <c r="C206" s="643" t="s">
        <v>889</v>
      </c>
      <c r="D206" s="643"/>
      <c r="E206" s="643"/>
      <c r="F206" s="630"/>
    </row>
    <row r="207" spans="1:6" s="627" customFormat="1" ht="15.75">
      <c r="A207" s="663">
        <v>4</v>
      </c>
      <c r="B207" s="693" t="s">
        <v>916</v>
      </c>
      <c r="C207" s="643" t="s">
        <v>889</v>
      </c>
      <c r="D207" s="643"/>
      <c r="E207" s="643"/>
      <c r="F207" s="630"/>
    </row>
    <row r="208" spans="1:6" s="627" customFormat="1" ht="15.75">
      <c r="A208" s="663">
        <v>5</v>
      </c>
      <c r="B208" s="693" t="s">
        <v>760</v>
      </c>
      <c r="C208" s="643" t="s">
        <v>870</v>
      </c>
      <c r="D208" s="643" t="s">
        <v>41</v>
      </c>
      <c r="E208" s="643"/>
      <c r="F208" s="630"/>
    </row>
    <row r="209" spans="1:6" s="627" customFormat="1" ht="16.5" thickBot="1">
      <c r="A209" s="670">
        <v>6</v>
      </c>
      <c r="B209" s="646" t="s">
        <v>888</v>
      </c>
      <c r="C209" s="648" t="s">
        <v>870</v>
      </c>
      <c r="D209" s="648" t="s">
        <v>873</v>
      </c>
      <c r="E209" s="648"/>
      <c r="F209" s="630"/>
    </row>
    <row r="210" spans="1:6" s="627" customFormat="1" ht="15.75">
      <c r="A210" s="659">
        <v>7</v>
      </c>
      <c r="B210" s="637" t="s">
        <v>754</v>
      </c>
      <c r="C210" s="651" t="s">
        <v>870</v>
      </c>
      <c r="D210" s="639" t="s">
        <v>873</v>
      </c>
      <c r="E210" s="639"/>
      <c r="F210" s="630"/>
    </row>
    <row r="211" spans="1:6" s="627" customFormat="1" ht="16.5" thickBot="1">
      <c r="A211" s="666">
        <v>8</v>
      </c>
      <c r="B211" s="654" t="s">
        <v>954</v>
      </c>
      <c r="C211" s="655" t="s">
        <v>955</v>
      </c>
      <c r="D211" s="656" t="s">
        <v>873</v>
      </c>
      <c r="E211" s="656"/>
      <c r="F211" s="630"/>
    </row>
    <row r="212" spans="1:6" s="627" customFormat="1" ht="16.5" thickBot="1">
      <c r="A212" s="628"/>
      <c r="B212" s="629"/>
      <c r="C212" s="630"/>
      <c r="D212" s="630"/>
      <c r="E212" s="630"/>
      <c r="F212" s="630"/>
    </row>
    <row r="213" spans="1:6" s="627" customFormat="1" ht="59.25" customHeight="1" thickBot="1">
      <c r="A213" s="824" t="s">
        <v>776</v>
      </c>
      <c r="B213" s="825"/>
      <c r="C213" s="825"/>
      <c r="D213" s="825"/>
      <c r="E213" s="826"/>
      <c r="F213" s="630"/>
    </row>
    <row r="214" spans="1:6" s="627" customFormat="1" ht="26.25" thickBot="1">
      <c r="A214" s="634" t="s">
        <v>820</v>
      </c>
      <c r="B214" s="658" t="s">
        <v>880</v>
      </c>
      <c r="C214" s="633" t="s">
        <v>879</v>
      </c>
      <c r="D214" s="634" t="s">
        <v>106</v>
      </c>
      <c r="E214" s="635" t="s">
        <v>878</v>
      </c>
      <c r="F214" s="630"/>
    </row>
    <row r="215" spans="1:6" s="627" customFormat="1" ht="51">
      <c r="A215" s="682">
        <v>1</v>
      </c>
      <c r="B215" s="637" t="s">
        <v>896</v>
      </c>
      <c r="C215" s="661" t="s">
        <v>953</v>
      </c>
      <c r="D215" s="662"/>
      <c r="E215" s="640" t="s">
        <v>873</v>
      </c>
      <c r="F215" s="630"/>
    </row>
    <row r="216" spans="1:6" s="627" customFormat="1" ht="15.75">
      <c r="A216" s="663">
        <v>2</v>
      </c>
      <c r="B216" s="694" t="s">
        <v>915</v>
      </c>
      <c r="C216" s="638" t="s">
        <v>870</v>
      </c>
      <c r="D216" s="643" t="s">
        <v>873</v>
      </c>
      <c r="E216" s="644"/>
      <c r="F216" s="630"/>
    </row>
    <row r="217" spans="1:6" s="627" customFormat="1" ht="38.25">
      <c r="A217" s="663">
        <v>3</v>
      </c>
      <c r="B217" s="694" t="s">
        <v>914</v>
      </c>
      <c r="C217" s="638" t="s">
        <v>870</v>
      </c>
      <c r="D217" s="643" t="s">
        <v>873</v>
      </c>
      <c r="E217" s="644"/>
      <c r="F217" s="630"/>
    </row>
    <row r="218" spans="1:6" s="627" customFormat="1" ht="15.75">
      <c r="A218" s="663">
        <v>4</v>
      </c>
      <c r="B218" s="694" t="s">
        <v>913</v>
      </c>
      <c r="C218" s="638" t="s">
        <v>870</v>
      </c>
      <c r="D218" s="643" t="s">
        <v>873</v>
      </c>
      <c r="E218" s="644"/>
      <c r="F218" s="630"/>
    </row>
    <row r="219" spans="1:6" s="627" customFormat="1" ht="15.75">
      <c r="A219" s="670">
        <v>5</v>
      </c>
      <c r="B219" s="694" t="s">
        <v>912</v>
      </c>
      <c r="C219" s="647" t="s">
        <v>870</v>
      </c>
      <c r="D219" s="648" t="s">
        <v>873</v>
      </c>
      <c r="E219" s="649"/>
      <c r="F219" s="630"/>
    </row>
    <row r="220" spans="1:6" s="627" customFormat="1" ht="39" thickBot="1">
      <c r="A220" s="670">
        <v>5</v>
      </c>
      <c r="B220" s="695" t="s">
        <v>911</v>
      </c>
      <c r="C220" s="647" t="s">
        <v>870</v>
      </c>
      <c r="D220" s="648" t="s">
        <v>873</v>
      </c>
      <c r="E220" s="649"/>
      <c r="F220" s="630"/>
    </row>
    <row r="221" spans="1:6" s="627" customFormat="1" ht="15.75">
      <c r="A221" s="659">
        <v>6</v>
      </c>
      <c r="B221" s="696" t="s">
        <v>754</v>
      </c>
      <c r="C221" s="651" t="s">
        <v>870</v>
      </c>
      <c r="D221" s="639" t="s">
        <v>873</v>
      </c>
      <c r="E221" s="652"/>
      <c r="F221" s="630"/>
    </row>
    <row r="222" spans="1:6" s="627" customFormat="1" ht="16.5" thickBot="1">
      <c r="A222" s="666">
        <v>7</v>
      </c>
      <c r="B222" s="697" t="s">
        <v>954</v>
      </c>
      <c r="C222" s="655" t="s">
        <v>955</v>
      </c>
      <c r="D222" s="656" t="s">
        <v>873</v>
      </c>
      <c r="E222" s="657"/>
      <c r="F222" s="630"/>
    </row>
    <row r="223" spans="1:6" s="627" customFormat="1" ht="16.5" thickBot="1">
      <c r="A223" s="628"/>
      <c r="B223" s="629"/>
      <c r="C223" s="630"/>
      <c r="D223" s="630"/>
      <c r="E223" s="630"/>
      <c r="F223" s="630"/>
    </row>
    <row r="224" spans="1:6" s="627" customFormat="1" ht="16.5" thickBot="1">
      <c r="A224" s="809" t="s">
        <v>777</v>
      </c>
      <c r="B224" s="810"/>
      <c r="C224" s="810"/>
      <c r="D224" s="810"/>
      <c r="E224" s="811"/>
      <c r="F224" s="630"/>
    </row>
    <row r="225" spans="1:6" s="627" customFormat="1" ht="26.25" thickBot="1">
      <c r="A225" s="634" t="s">
        <v>820</v>
      </c>
      <c r="B225" s="632" t="s">
        <v>880</v>
      </c>
      <c r="C225" s="698" t="s">
        <v>879</v>
      </c>
      <c r="D225" s="699" t="s">
        <v>106</v>
      </c>
      <c r="E225" s="634" t="s">
        <v>878</v>
      </c>
      <c r="F225" s="630"/>
    </row>
    <row r="226" spans="1:6" s="627" customFormat="1" ht="51">
      <c r="A226" s="636">
        <v>1</v>
      </c>
      <c r="B226" s="669" t="s">
        <v>896</v>
      </c>
      <c r="C226" s="639" t="s">
        <v>953</v>
      </c>
      <c r="D226" s="700"/>
      <c r="E226" s="652" t="s">
        <v>873</v>
      </c>
      <c r="F226" s="630"/>
    </row>
    <row r="227" spans="1:6" s="627" customFormat="1" ht="15.75">
      <c r="A227" s="641">
        <v>2</v>
      </c>
      <c r="B227" s="694" t="s">
        <v>910</v>
      </c>
      <c r="C227" s="643" t="s">
        <v>959</v>
      </c>
      <c r="D227" s="675"/>
      <c r="E227" s="644" t="s">
        <v>873</v>
      </c>
      <c r="F227" s="630"/>
    </row>
    <row r="228" spans="1:6" s="627" customFormat="1" ht="15.75">
      <c r="A228" s="641">
        <v>3</v>
      </c>
      <c r="B228" s="694" t="s">
        <v>909</v>
      </c>
      <c r="C228" s="643" t="s">
        <v>959</v>
      </c>
      <c r="D228" s="675"/>
      <c r="E228" s="644" t="s">
        <v>873</v>
      </c>
      <c r="F228" s="630"/>
    </row>
    <row r="229" spans="1:6" s="627" customFormat="1" ht="15.75">
      <c r="A229" s="641">
        <v>4</v>
      </c>
      <c r="B229" s="694" t="s">
        <v>908</v>
      </c>
      <c r="C229" s="643" t="s">
        <v>961</v>
      </c>
      <c r="D229" s="675"/>
      <c r="E229" s="644" t="s">
        <v>873</v>
      </c>
      <c r="F229" s="630"/>
    </row>
    <row r="230" spans="1:6" s="627" customFormat="1" ht="15.75">
      <c r="A230" s="641">
        <v>5</v>
      </c>
      <c r="B230" s="694" t="s">
        <v>907</v>
      </c>
      <c r="C230" s="643" t="s">
        <v>961</v>
      </c>
      <c r="D230" s="675"/>
      <c r="E230" s="644" t="s">
        <v>873</v>
      </c>
      <c r="F230" s="630"/>
    </row>
    <row r="231" spans="1:6" s="627" customFormat="1" ht="25.5">
      <c r="A231" s="641">
        <v>6</v>
      </c>
      <c r="B231" s="694" t="s">
        <v>906</v>
      </c>
      <c r="C231" s="643" t="s">
        <v>904</v>
      </c>
      <c r="D231" s="675"/>
      <c r="E231" s="644" t="s">
        <v>873</v>
      </c>
      <c r="F231" s="630"/>
    </row>
    <row r="232" spans="1:6" s="627" customFormat="1" ht="25.5">
      <c r="A232" s="641">
        <v>7</v>
      </c>
      <c r="B232" s="694" t="s">
        <v>905</v>
      </c>
      <c r="C232" s="643" t="s">
        <v>904</v>
      </c>
      <c r="D232" s="675"/>
      <c r="E232" s="644" t="s">
        <v>873</v>
      </c>
      <c r="F232" s="630"/>
    </row>
    <row r="233" spans="1:6" s="627" customFormat="1" ht="16.5" thickBot="1">
      <c r="A233" s="645">
        <v>8</v>
      </c>
      <c r="B233" s="695" t="s">
        <v>903</v>
      </c>
      <c r="C233" s="648" t="s">
        <v>962</v>
      </c>
      <c r="D233" s="701"/>
      <c r="E233" s="649" t="s">
        <v>873</v>
      </c>
      <c r="F233" s="630"/>
    </row>
    <row r="234" spans="1:6" s="627" customFormat="1" ht="15.75">
      <c r="A234" s="650">
        <v>9</v>
      </c>
      <c r="B234" s="637" t="s">
        <v>754</v>
      </c>
      <c r="C234" s="651" t="s">
        <v>870</v>
      </c>
      <c r="D234" s="700"/>
      <c r="E234" s="652" t="s">
        <v>873</v>
      </c>
      <c r="F234" s="630"/>
    </row>
    <row r="235" spans="1:6" s="627" customFormat="1" ht="16.5" thickBot="1">
      <c r="A235" s="653">
        <v>10</v>
      </c>
      <c r="B235" s="695" t="s">
        <v>954</v>
      </c>
      <c r="C235" s="655" t="s">
        <v>955</v>
      </c>
      <c r="D235" s="702"/>
      <c r="E235" s="657" t="s">
        <v>873</v>
      </c>
      <c r="F235" s="630"/>
    </row>
    <row r="236" spans="1:6" s="627" customFormat="1" ht="16.5" thickBot="1">
      <c r="A236" s="628"/>
      <c r="B236" s="629"/>
      <c r="C236" s="630"/>
      <c r="D236" s="630"/>
      <c r="E236" s="630"/>
      <c r="F236" s="630"/>
    </row>
    <row r="237" spans="1:6" s="627" customFormat="1" ht="35.25" customHeight="1" thickBot="1">
      <c r="A237" s="824" t="s">
        <v>778</v>
      </c>
      <c r="B237" s="825"/>
      <c r="C237" s="825"/>
      <c r="D237" s="825"/>
      <c r="E237" s="826"/>
      <c r="F237" s="630"/>
    </row>
    <row r="238" spans="1:6" s="627" customFormat="1" ht="26.25" thickBot="1">
      <c r="A238" s="634" t="s">
        <v>820</v>
      </c>
      <c r="B238" s="681" t="s">
        <v>880</v>
      </c>
      <c r="C238" s="634" t="s">
        <v>879</v>
      </c>
      <c r="D238" s="634" t="s">
        <v>106</v>
      </c>
      <c r="E238" s="634" t="s">
        <v>878</v>
      </c>
      <c r="F238" s="630"/>
    </row>
    <row r="239" spans="1:6" s="627" customFormat="1" ht="51">
      <c r="A239" s="682">
        <v>1</v>
      </c>
      <c r="B239" s="669" t="s">
        <v>896</v>
      </c>
      <c r="C239" s="639" t="s">
        <v>953</v>
      </c>
      <c r="D239" s="639"/>
      <c r="E239" s="652" t="s">
        <v>873</v>
      </c>
      <c r="F239" s="630"/>
    </row>
    <row r="240" spans="1:6" s="627" customFormat="1" ht="25.5">
      <c r="A240" s="663">
        <v>2</v>
      </c>
      <c r="B240" s="703" t="s">
        <v>902</v>
      </c>
      <c r="C240" s="643" t="s">
        <v>953</v>
      </c>
      <c r="D240" s="643"/>
      <c r="E240" s="644" t="s">
        <v>873</v>
      </c>
      <c r="F240" s="630"/>
    </row>
    <row r="241" spans="1:6" s="627" customFormat="1" ht="39" thickBot="1">
      <c r="A241" s="670">
        <v>3</v>
      </c>
      <c r="B241" s="704" t="s">
        <v>901</v>
      </c>
      <c r="C241" s="648" t="s">
        <v>870</v>
      </c>
      <c r="D241" s="648" t="s">
        <v>873</v>
      </c>
      <c r="E241" s="649"/>
      <c r="F241" s="630"/>
    </row>
    <row r="242" spans="1:6" s="627" customFormat="1" ht="15.75">
      <c r="A242" s="659">
        <v>4</v>
      </c>
      <c r="B242" s="637" t="s">
        <v>754</v>
      </c>
      <c r="C242" s="651" t="s">
        <v>870</v>
      </c>
      <c r="D242" s="639" t="s">
        <v>873</v>
      </c>
      <c r="E242" s="652"/>
      <c r="F242" s="630"/>
    </row>
    <row r="243" spans="1:6" s="627" customFormat="1" ht="16.5" thickBot="1">
      <c r="A243" s="666">
        <v>5</v>
      </c>
      <c r="B243" s="654" t="s">
        <v>954</v>
      </c>
      <c r="C243" s="655" t="s">
        <v>955</v>
      </c>
      <c r="D243" s="656" t="s">
        <v>873</v>
      </c>
      <c r="E243" s="657"/>
      <c r="F243" s="630"/>
    </row>
    <row r="244" spans="1:6" s="627" customFormat="1" ht="16.5" thickBot="1">
      <c r="A244" s="628"/>
      <c r="B244" s="629"/>
      <c r="C244" s="630"/>
      <c r="D244" s="630"/>
      <c r="E244" s="630"/>
      <c r="F244" s="630"/>
    </row>
    <row r="245" spans="1:6" s="627" customFormat="1" ht="19.5" customHeight="1" thickBot="1">
      <c r="A245" s="809" t="s">
        <v>779</v>
      </c>
      <c r="B245" s="810"/>
      <c r="C245" s="810"/>
      <c r="D245" s="810"/>
      <c r="E245" s="811"/>
      <c r="F245" s="630"/>
    </row>
    <row r="246" spans="1:6" s="627" customFormat="1" ht="26.25" thickBot="1">
      <c r="A246" s="634" t="s">
        <v>820</v>
      </c>
      <c r="B246" s="658" t="s">
        <v>880</v>
      </c>
      <c r="C246" s="633" t="s">
        <v>879</v>
      </c>
      <c r="D246" s="634" t="s">
        <v>106</v>
      </c>
      <c r="E246" s="634" t="s">
        <v>878</v>
      </c>
      <c r="F246" s="630"/>
    </row>
    <row r="247" spans="1:6" s="627" customFormat="1" ht="51">
      <c r="A247" s="682">
        <v>1</v>
      </c>
      <c r="B247" s="669" t="s">
        <v>896</v>
      </c>
      <c r="C247" s="661" t="s">
        <v>953</v>
      </c>
      <c r="D247" s="662"/>
      <c r="E247" s="640" t="s">
        <v>873</v>
      </c>
      <c r="F247" s="630"/>
    </row>
    <row r="248" spans="1:6" s="627" customFormat="1" ht="15.75">
      <c r="A248" s="663">
        <v>2</v>
      </c>
      <c r="B248" s="642" t="s">
        <v>900</v>
      </c>
      <c r="C248" s="638" t="s">
        <v>870</v>
      </c>
      <c r="D248" s="643" t="s">
        <v>873</v>
      </c>
      <c r="E248" s="644"/>
      <c r="F248" s="630"/>
    </row>
    <row r="249" spans="1:6" s="627" customFormat="1" ht="15.75">
      <c r="A249" s="663">
        <v>3</v>
      </c>
      <c r="B249" s="642" t="s">
        <v>899</v>
      </c>
      <c r="C249" s="638" t="s">
        <v>759</v>
      </c>
      <c r="D249" s="643"/>
      <c r="E249" s="644" t="s">
        <v>873</v>
      </c>
      <c r="F249" s="630"/>
    </row>
    <row r="250" spans="1:6" s="627" customFormat="1" ht="16.5" thickBot="1">
      <c r="A250" s="670">
        <v>4</v>
      </c>
      <c r="B250" s="646" t="s">
        <v>898</v>
      </c>
      <c r="C250" s="647" t="s">
        <v>897</v>
      </c>
      <c r="D250" s="648"/>
      <c r="E250" s="649" t="s">
        <v>873</v>
      </c>
      <c r="F250" s="630"/>
    </row>
    <row r="251" spans="1:6" s="627" customFormat="1" ht="15.75">
      <c r="A251" s="659">
        <v>5</v>
      </c>
      <c r="B251" s="637" t="s">
        <v>754</v>
      </c>
      <c r="C251" s="651" t="s">
        <v>870</v>
      </c>
      <c r="D251" s="639" t="s">
        <v>873</v>
      </c>
      <c r="E251" s="652"/>
      <c r="F251" s="630"/>
    </row>
    <row r="252" spans="1:6" s="627" customFormat="1" ht="16.5" thickBot="1">
      <c r="A252" s="666">
        <v>6</v>
      </c>
      <c r="B252" s="654" t="s">
        <v>954</v>
      </c>
      <c r="C252" s="655" t="s">
        <v>955</v>
      </c>
      <c r="D252" s="656" t="s">
        <v>873</v>
      </c>
      <c r="E252" s="657"/>
      <c r="F252" s="630"/>
    </row>
    <row r="253" spans="1:6" s="627" customFormat="1" ht="16.5" thickBot="1">
      <c r="A253" s="628"/>
      <c r="B253" s="629"/>
      <c r="C253" s="630"/>
      <c r="D253" s="630"/>
      <c r="E253" s="630"/>
      <c r="F253" s="630"/>
    </row>
    <row r="254" spans="1:6" s="627" customFormat="1" ht="18" customHeight="1" thickBot="1">
      <c r="A254" s="824" t="s">
        <v>780</v>
      </c>
      <c r="B254" s="825"/>
      <c r="C254" s="825"/>
      <c r="D254" s="825"/>
      <c r="E254" s="826"/>
      <c r="F254" s="630"/>
    </row>
    <row r="255" spans="1:6" s="627" customFormat="1" ht="26.25" thickBot="1">
      <c r="A255" s="634" t="s">
        <v>820</v>
      </c>
      <c r="B255" s="658" t="s">
        <v>880</v>
      </c>
      <c r="C255" s="634" t="s">
        <v>879</v>
      </c>
      <c r="D255" s="634" t="s">
        <v>106</v>
      </c>
      <c r="E255" s="634" t="s">
        <v>878</v>
      </c>
      <c r="F255" s="630"/>
    </row>
    <row r="256" spans="1:6" s="627" customFormat="1" ht="51">
      <c r="A256" s="682">
        <v>1</v>
      </c>
      <c r="B256" s="669" t="s">
        <v>896</v>
      </c>
      <c r="C256" s="639" t="s">
        <v>953</v>
      </c>
      <c r="D256" s="662"/>
      <c r="E256" s="662" t="s">
        <v>873</v>
      </c>
      <c r="F256" s="630"/>
    </row>
    <row r="257" spans="1:6" s="627" customFormat="1" ht="25.5">
      <c r="A257" s="663">
        <v>2</v>
      </c>
      <c r="B257" s="660" t="s">
        <v>895</v>
      </c>
      <c r="C257" s="643" t="s">
        <v>894</v>
      </c>
      <c r="D257" s="643"/>
      <c r="E257" s="643" t="s">
        <v>873</v>
      </c>
      <c r="F257" s="630"/>
    </row>
    <row r="258" spans="1:6" s="627" customFormat="1" ht="25.5">
      <c r="A258" s="663">
        <v>3</v>
      </c>
      <c r="B258" s="660" t="s">
        <v>893</v>
      </c>
      <c r="C258" s="643" t="s">
        <v>759</v>
      </c>
      <c r="D258" s="643"/>
      <c r="E258" s="643" t="s">
        <v>873</v>
      </c>
      <c r="F258" s="630"/>
    </row>
    <row r="259" spans="1:6" s="627" customFormat="1" ht="15.75">
      <c r="A259" s="663">
        <v>4</v>
      </c>
      <c r="B259" s="660" t="s">
        <v>892</v>
      </c>
      <c r="C259" s="643" t="s">
        <v>891</v>
      </c>
      <c r="D259" s="643"/>
      <c r="E259" s="643" t="s">
        <v>873</v>
      </c>
      <c r="F259" s="630"/>
    </row>
    <row r="260" spans="1:6" s="627" customFormat="1" ht="15.75">
      <c r="A260" s="663">
        <v>5</v>
      </c>
      <c r="B260" s="660" t="s">
        <v>237</v>
      </c>
      <c r="C260" s="643" t="s">
        <v>870</v>
      </c>
      <c r="D260" s="643" t="s">
        <v>873</v>
      </c>
      <c r="E260" s="643"/>
      <c r="F260" s="630"/>
    </row>
    <row r="261" spans="1:6" s="627" customFormat="1" ht="25.5">
      <c r="A261" s="663">
        <v>6</v>
      </c>
      <c r="B261" s="660" t="s">
        <v>890</v>
      </c>
      <c r="C261" s="643" t="s">
        <v>889</v>
      </c>
      <c r="D261" s="643"/>
      <c r="E261" s="643"/>
      <c r="F261" s="630"/>
    </row>
    <row r="262" spans="1:6" s="627" customFormat="1" ht="15.75">
      <c r="A262" s="663">
        <v>7</v>
      </c>
      <c r="B262" s="660" t="s">
        <v>757</v>
      </c>
      <c r="C262" s="643" t="s">
        <v>889</v>
      </c>
      <c r="D262" s="643"/>
      <c r="E262" s="643"/>
      <c r="F262" s="630"/>
    </row>
    <row r="263" spans="1:6" s="627" customFormat="1" ht="15.75">
      <c r="A263" s="663">
        <v>8</v>
      </c>
      <c r="B263" s="660" t="s">
        <v>760</v>
      </c>
      <c r="C263" s="643" t="s">
        <v>870</v>
      </c>
      <c r="D263" s="643" t="s">
        <v>873</v>
      </c>
      <c r="E263" s="643"/>
      <c r="F263" s="630"/>
    </row>
    <row r="264" spans="1:6" s="627" customFormat="1" ht="15.75">
      <c r="A264" s="663">
        <v>9</v>
      </c>
      <c r="B264" s="676" t="s">
        <v>888</v>
      </c>
      <c r="C264" s="643" t="s">
        <v>870</v>
      </c>
      <c r="D264" s="643" t="s">
        <v>873</v>
      </c>
      <c r="E264" s="643"/>
      <c r="F264" s="630"/>
    </row>
    <row r="265" spans="1:6" s="627" customFormat="1" ht="15.75">
      <c r="A265" s="663">
        <v>10</v>
      </c>
      <c r="B265" s="660" t="s">
        <v>884</v>
      </c>
      <c r="C265" s="643" t="s">
        <v>887</v>
      </c>
      <c r="D265" s="643" t="s">
        <v>873</v>
      </c>
      <c r="E265" s="643"/>
      <c r="F265" s="630"/>
    </row>
    <row r="266" spans="1:6" s="627" customFormat="1" ht="39" thickBot="1">
      <c r="A266" s="670">
        <v>11</v>
      </c>
      <c r="B266" s="676" t="s">
        <v>886</v>
      </c>
      <c r="C266" s="705" t="s">
        <v>881</v>
      </c>
      <c r="D266" s="648"/>
      <c r="E266" s="643" t="s">
        <v>41</v>
      </c>
      <c r="F266" s="630"/>
    </row>
    <row r="267" spans="1:6" s="627" customFormat="1" ht="15.75">
      <c r="A267" s="659">
        <v>12</v>
      </c>
      <c r="B267" s="669" t="s">
        <v>754</v>
      </c>
      <c r="C267" s="639" t="s">
        <v>870</v>
      </c>
      <c r="D267" s="639" t="s">
        <v>873</v>
      </c>
      <c r="E267" s="643"/>
      <c r="F267" s="630"/>
    </row>
    <row r="268" spans="1:6" s="627" customFormat="1" ht="16.5" thickBot="1">
      <c r="A268" s="666">
        <v>13</v>
      </c>
      <c r="B268" s="691" t="s">
        <v>954</v>
      </c>
      <c r="C268" s="656" t="s">
        <v>955</v>
      </c>
      <c r="D268" s="656" t="s">
        <v>873</v>
      </c>
      <c r="E268" s="656"/>
      <c r="F268" s="630"/>
    </row>
    <row r="269" spans="1:6" s="627" customFormat="1" ht="16.5" thickBot="1">
      <c r="A269" s="628"/>
      <c r="B269" s="629"/>
      <c r="C269" s="630"/>
      <c r="D269" s="630"/>
      <c r="E269" s="630"/>
      <c r="F269" s="630"/>
    </row>
    <row r="270" spans="1:6" s="627" customFormat="1" ht="21" customHeight="1" thickBot="1">
      <c r="A270" s="809" t="s">
        <v>781</v>
      </c>
      <c r="B270" s="810"/>
      <c r="C270" s="810"/>
      <c r="D270" s="810"/>
      <c r="E270" s="811"/>
      <c r="F270" s="630"/>
    </row>
    <row r="271" spans="1:6" s="627" customFormat="1" ht="26.25" thickBot="1">
      <c r="A271" s="631" t="s">
        <v>820</v>
      </c>
      <c r="B271" s="658" t="s">
        <v>880</v>
      </c>
      <c r="C271" s="633" t="s">
        <v>879</v>
      </c>
      <c r="D271" s="634" t="s">
        <v>106</v>
      </c>
      <c r="E271" s="634" t="s">
        <v>878</v>
      </c>
      <c r="F271" s="630"/>
    </row>
    <row r="272" spans="1:6" s="627" customFormat="1" ht="63.75">
      <c r="A272" s="636">
        <v>1</v>
      </c>
      <c r="B272" s="694" t="s">
        <v>885</v>
      </c>
      <c r="C272" s="661" t="s">
        <v>953</v>
      </c>
      <c r="D272" s="662"/>
      <c r="E272" s="640" t="s">
        <v>873</v>
      </c>
      <c r="F272" s="630"/>
    </row>
    <row r="273" spans="1:6" s="627" customFormat="1" ht="15.75">
      <c r="A273" s="641">
        <v>2</v>
      </c>
      <c r="B273" s="642" t="s">
        <v>884</v>
      </c>
      <c r="C273" s="638" t="s">
        <v>883</v>
      </c>
      <c r="D273" s="643" t="s">
        <v>873</v>
      </c>
      <c r="E273" s="644"/>
      <c r="F273" s="630"/>
    </row>
    <row r="274" spans="1:6" s="627" customFormat="1" ht="26.25" thickBot="1">
      <c r="A274" s="645">
        <v>3</v>
      </c>
      <c r="B274" s="646" t="s">
        <v>882</v>
      </c>
      <c r="C274" s="705" t="s">
        <v>881</v>
      </c>
      <c r="D274" s="648"/>
      <c r="E274" s="649" t="s">
        <v>873</v>
      </c>
      <c r="F274" s="630"/>
    </row>
    <row r="275" spans="1:6" s="627" customFormat="1" ht="15.75">
      <c r="A275" s="650">
        <v>4</v>
      </c>
      <c r="B275" s="637" t="s">
        <v>754</v>
      </c>
      <c r="C275" s="651" t="s">
        <v>870</v>
      </c>
      <c r="D275" s="639" t="s">
        <v>873</v>
      </c>
      <c r="E275" s="652"/>
      <c r="F275" s="630"/>
    </row>
    <row r="276" spans="1:6" s="627" customFormat="1" ht="16.5" thickBot="1">
      <c r="A276" s="653">
        <v>5</v>
      </c>
      <c r="B276" s="654" t="s">
        <v>954</v>
      </c>
      <c r="C276" s="655" t="s">
        <v>955</v>
      </c>
      <c r="D276" s="656" t="s">
        <v>873</v>
      </c>
      <c r="E276" s="657"/>
      <c r="F276" s="630"/>
    </row>
    <row r="277" spans="1:6" s="627" customFormat="1" ht="16.5" thickBot="1">
      <c r="A277" s="628"/>
      <c r="B277" s="629"/>
      <c r="C277" s="630"/>
      <c r="D277" s="630"/>
      <c r="E277" s="630"/>
      <c r="F277" s="630"/>
    </row>
    <row r="278" spans="1:6" s="627" customFormat="1" ht="28.5" customHeight="1" thickBot="1">
      <c r="A278" s="824" t="s">
        <v>782</v>
      </c>
      <c r="B278" s="825"/>
      <c r="C278" s="825"/>
      <c r="D278" s="825"/>
      <c r="E278" s="826"/>
      <c r="F278" s="630"/>
    </row>
    <row r="279" spans="1:6" s="627" customFormat="1" ht="26.25" thickBot="1">
      <c r="A279" s="631" t="s">
        <v>820</v>
      </c>
      <c r="B279" s="658" t="s">
        <v>880</v>
      </c>
      <c r="C279" s="634" t="s">
        <v>879</v>
      </c>
      <c r="D279" s="634" t="s">
        <v>106</v>
      </c>
      <c r="E279" s="634" t="s">
        <v>878</v>
      </c>
      <c r="F279" s="630"/>
    </row>
    <row r="280" spans="1:6" s="627" customFormat="1" ht="38.25">
      <c r="A280" s="636">
        <v>1</v>
      </c>
      <c r="B280" s="692" t="s">
        <v>877</v>
      </c>
      <c r="C280" s="662" t="s">
        <v>870</v>
      </c>
      <c r="D280" s="662" t="s">
        <v>873</v>
      </c>
      <c r="E280" s="640"/>
      <c r="F280" s="630"/>
    </row>
    <row r="281" spans="1:6" s="627" customFormat="1" ht="16.5" thickBot="1">
      <c r="A281" s="645">
        <v>2</v>
      </c>
      <c r="B281" s="676" t="s">
        <v>876</v>
      </c>
      <c r="C281" s="648" t="s">
        <v>759</v>
      </c>
      <c r="D281" s="648"/>
      <c r="E281" s="649" t="s">
        <v>873</v>
      </c>
      <c r="F281" s="630"/>
    </row>
    <row r="282" spans="1:6" s="627" customFormat="1" ht="15.75">
      <c r="A282" s="650">
        <v>3</v>
      </c>
      <c r="B282" s="669" t="s">
        <v>754</v>
      </c>
      <c r="C282" s="651" t="s">
        <v>870</v>
      </c>
      <c r="D282" s="639" t="s">
        <v>873</v>
      </c>
      <c r="E282" s="652"/>
      <c r="F282" s="630"/>
    </row>
    <row r="283" spans="1:6" s="627" customFormat="1" ht="26.25" thickBot="1">
      <c r="A283" s="653">
        <v>4</v>
      </c>
      <c r="B283" s="691" t="s">
        <v>875</v>
      </c>
      <c r="C283" s="706" t="s">
        <v>874</v>
      </c>
      <c r="D283" s="656" t="s">
        <v>873</v>
      </c>
      <c r="E283" s="657"/>
      <c r="F283" s="630"/>
    </row>
    <row r="284" spans="1:6" s="627" customFormat="1" ht="16.5" thickBot="1">
      <c r="A284" s="628"/>
      <c r="B284" s="629"/>
      <c r="C284" s="630"/>
      <c r="D284" s="630"/>
      <c r="E284" s="630"/>
      <c r="F284" s="630"/>
    </row>
    <row r="285" spans="1:6" s="627" customFormat="1" ht="16.5" thickBot="1">
      <c r="A285" s="829" t="s">
        <v>872</v>
      </c>
      <c r="B285" s="830"/>
      <c r="C285" s="831"/>
      <c r="D285" s="630"/>
      <c r="E285" s="630"/>
      <c r="F285" s="630"/>
    </row>
    <row r="286" spans="1:6" s="627" customFormat="1" ht="16.5" thickBot="1">
      <c r="A286" s="707" t="s">
        <v>820</v>
      </c>
      <c r="B286" s="708" t="s">
        <v>871</v>
      </c>
      <c r="C286" s="709" t="s">
        <v>870</v>
      </c>
      <c r="D286" s="630"/>
      <c r="E286" s="630"/>
      <c r="F286" s="630"/>
    </row>
    <row r="287" spans="1:6" s="627" customFormat="1" ht="16.5" thickBot="1">
      <c r="A287" s="710">
        <v>1</v>
      </c>
      <c r="B287" s="708" t="s">
        <v>869</v>
      </c>
      <c r="C287" s="711"/>
      <c r="D287" s="630"/>
      <c r="E287" s="630"/>
      <c r="F287" s="630"/>
    </row>
    <row r="288" spans="1:6" s="627" customFormat="1" ht="16.5" thickBot="1">
      <c r="A288" s="712" t="s">
        <v>868</v>
      </c>
      <c r="B288" s="713" t="s">
        <v>867</v>
      </c>
      <c r="C288" s="711"/>
      <c r="D288" s="630"/>
      <c r="E288" s="630"/>
      <c r="F288" s="630"/>
    </row>
    <row r="289" spans="1:6" s="627" customFormat="1" ht="26.25" thickBot="1">
      <c r="A289" s="712" t="s">
        <v>866</v>
      </c>
      <c r="B289" s="713" t="s">
        <v>835</v>
      </c>
      <c r="C289" s="711"/>
      <c r="D289" s="630"/>
      <c r="E289" s="630"/>
      <c r="F289" s="630"/>
    </row>
    <row r="290" spans="1:6" s="627" customFormat="1" ht="26.25" thickBot="1">
      <c r="A290" s="712" t="s">
        <v>865</v>
      </c>
      <c r="B290" s="713" t="s">
        <v>864</v>
      </c>
      <c r="C290" s="711"/>
      <c r="D290" s="630"/>
      <c r="E290" s="630"/>
      <c r="F290" s="630"/>
    </row>
    <row r="291" spans="1:6" s="627" customFormat="1" ht="26.25" thickBot="1">
      <c r="A291" s="712" t="s">
        <v>863</v>
      </c>
      <c r="B291" s="713" t="s">
        <v>835</v>
      </c>
      <c r="C291" s="711"/>
      <c r="D291" s="630"/>
      <c r="E291" s="630"/>
      <c r="F291" s="630"/>
    </row>
    <row r="292" spans="1:6" s="627" customFormat="1" ht="26.25" thickBot="1">
      <c r="A292" s="712" t="s">
        <v>862</v>
      </c>
      <c r="B292" s="713" t="s">
        <v>861</v>
      </c>
      <c r="C292" s="711"/>
      <c r="D292" s="630"/>
      <c r="E292" s="630"/>
      <c r="F292" s="630"/>
    </row>
    <row r="293" spans="1:6" s="627" customFormat="1" ht="39" thickBot="1">
      <c r="A293" s="712" t="s">
        <v>860</v>
      </c>
      <c r="B293" s="713" t="s">
        <v>859</v>
      </c>
      <c r="C293" s="711"/>
      <c r="D293" s="630"/>
      <c r="E293" s="630"/>
      <c r="F293" s="630"/>
    </row>
    <row r="294" spans="1:6" s="627" customFormat="1" ht="26.25" thickBot="1">
      <c r="A294" s="712" t="s">
        <v>858</v>
      </c>
      <c r="B294" s="713" t="s">
        <v>857</v>
      </c>
      <c r="C294" s="711"/>
      <c r="D294" s="630"/>
      <c r="E294" s="630"/>
      <c r="F294" s="630"/>
    </row>
    <row r="295" spans="1:6" s="627" customFormat="1" ht="16.5" thickBot="1">
      <c r="A295" s="712" t="s">
        <v>856</v>
      </c>
      <c r="B295" s="713" t="s">
        <v>855</v>
      </c>
      <c r="C295" s="711"/>
      <c r="D295" s="630"/>
      <c r="E295" s="630"/>
      <c r="F295" s="630"/>
    </row>
    <row r="296" spans="1:6" s="627" customFormat="1" ht="26.25" thickBot="1">
      <c r="A296" s="712" t="s">
        <v>854</v>
      </c>
      <c r="B296" s="713" t="s">
        <v>853</v>
      </c>
      <c r="C296" s="711"/>
      <c r="D296" s="630"/>
      <c r="E296" s="630"/>
      <c r="F296" s="630"/>
    </row>
    <row r="297" spans="1:6" s="627" customFormat="1" ht="16.5" thickBot="1">
      <c r="A297" s="712"/>
      <c r="B297" s="713"/>
      <c r="C297" s="711"/>
      <c r="D297" s="630"/>
      <c r="E297" s="630"/>
      <c r="F297" s="630"/>
    </row>
    <row r="298" spans="1:6" s="627" customFormat="1" ht="16.5" thickBot="1">
      <c r="A298" s="712" t="s">
        <v>42</v>
      </c>
      <c r="B298" s="708" t="s">
        <v>852</v>
      </c>
      <c r="C298" s="711"/>
      <c r="D298" s="630"/>
      <c r="E298" s="630"/>
      <c r="F298" s="630"/>
    </row>
    <row r="299" spans="1:6" s="627" customFormat="1" ht="16.5" thickBot="1">
      <c r="A299" s="712" t="s">
        <v>851</v>
      </c>
      <c r="B299" s="713" t="s">
        <v>850</v>
      </c>
      <c r="C299" s="711"/>
      <c r="D299" s="630"/>
      <c r="E299" s="630"/>
      <c r="F299" s="630"/>
    </row>
    <row r="300" spans="1:6" s="627" customFormat="1" ht="16.5" thickBot="1">
      <c r="A300" s="712" t="s">
        <v>849</v>
      </c>
      <c r="B300" s="713" t="s">
        <v>848</v>
      </c>
      <c r="C300" s="711"/>
      <c r="D300" s="630"/>
      <c r="E300" s="630"/>
      <c r="F300" s="630"/>
    </row>
    <row r="301" spans="1:6" s="627" customFormat="1" ht="26.25" thickBot="1">
      <c r="A301" s="712" t="s">
        <v>847</v>
      </c>
      <c r="B301" s="713" t="s">
        <v>835</v>
      </c>
      <c r="C301" s="711"/>
      <c r="D301" s="630"/>
      <c r="E301" s="630"/>
      <c r="F301" s="630"/>
    </row>
    <row r="302" spans="1:6" s="627" customFormat="1" ht="16.5" thickBot="1">
      <c r="A302" s="712" t="s">
        <v>846</v>
      </c>
      <c r="B302" s="713" t="s">
        <v>845</v>
      </c>
      <c r="C302" s="711"/>
      <c r="D302" s="630"/>
      <c r="E302" s="630"/>
      <c r="F302" s="630"/>
    </row>
    <row r="303" spans="1:6" s="627" customFormat="1" ht="26.25" thickBot="1">
      <c r="A303" s="712" t="s">
        <v>844</v>
      </c>
      <c r="B303" s="713" t="s">
        <v>843</v>
      </c>
      <c r="C303" s="711"/>
      <c r="D303" s="630"/>
      <c r="E303" s="630"/>
      <c r="F303" s="630"/>
    </row>
    <row r="304" spans="1:6" s="627" customFormat="1" ht="39" thickBot="1">
      <c r="A304" s="712" t="s">
        <v>842</v>
      </c>
      <c r="B304" s="713" t="s">
        <v>841</v>
      </c>
      <c r="C304" s="711"/>
      <c r="D304" s="630"/>
      <c r="E304" s="630"/>
      <c r="F304" s="630"/>
    </row>
    <row r="305" spans="1:6" s="627" customFormat="1" ht="26.25" thickBot="1">
      <c r="A305" s="712" t="s">
        <v>840</v>
      </c>
      <c r="B305" s="713" t="s">
        <v>839</v>
      </c>
      <c r="C305" s="711"/>
      <c r="D305" s="630"/>
      <c r="E305" s="630"/>
      <c r="F305" s="630"/>
    </row>
    <row r="306" spans="1:6" s="627" customFormat="1" ht="16.5" thickBot="1">
      <c r="A306" s="712" t="s">
        <v>838</v>
      </c>
      <c r="B306" s="713" t="s">
        <v>837</v>
      </c>
      <c r="C306" s="711"/>
      <c r="D306" s="630"/>
      <c r="E306" s="630"/>
      <c r="F306" s="630"/>
    </row>
    <row r="307" spans="1:6" s="627" customFormat="1" ht="26.25" thickBot="1">
      <c r="A307" s="712" t="s">
        <v>836</v>
      </c>
      <c r="B307" s="713" t="s">
        <v>835</v>
      </c>
      <c r="C307" s="711"/>
      <c r="D307" s="630"/>
      <c r="E307" s="630"/>
      <c r="F307" s="630"/>
    </row>
    <row r="308" spans="1:6" s="627" customFormat="1" ht="16.5" thickBot="1">
      <c r="A308" s="712" t="s">
        <v>834</v>
      </c>
      <c r="B308" s="713" t="s">
        <v>833</v>
      </c>
      <c r="C308" s="711"/>
      <c r="D308" s="630"/>
      <c r="E308" s="630"/>
      <c r="F308" s="630"/>
    </row>
    <row r="309" spans="1:6" s="627" customFormat="1" ht="26.25" thickBot="1">
      <c r="A309" s="712" t="s">
        <v>832</v>
      </c>
      <c r="B309" s="713" t="s">
        <v>831</v>
      </c>
      <c r="C309" s="711"/>
      <c r="D309" s="630"/>
      <c r="E309" s="630"/>
      <c r="F309" s="630"/>
    </row>
    <row r="310" spans="1:6" s="627" customFormat="1" ht="16.5" thickBot="1">
      <c r="A310" s="712" t="s">
        <v>830</v>
      </c>
      <c r="B310" s="713" t="s">
        <v>829</v>
      </c>
      <c r="C310" s="711"/>
      <c r="D310" s="630"/>
      <c r="E310" s="630"/>
      <c r="F310" s="630"/>
    </row>
    <row r="311" spans="1:6" s="627" customFormat="1" ht="16.5" thickBot="1">
      <c r="A311" s="712" t="s">
        <v>828</v>
      </c>
      <c r="B311" s="713" t="s">
        <v>827</v>
      </c>
      <c r="C311" s="711"/>
      <c r="D311" s="630"/>
      <c r="E311" s="630"/>
      <c r="F311" s="630"/>
    </row>
    <row r="312" spans="1:6" s="627" customFormat="1" ht="26.25" thickBot="1">
      <c r="A312" s="712" t="s">
        <v>826</v>
      </c>
      <c r="B312" s="713" t="s">
        <v>825</v>
      </c>
      <c r="C312" s="711"/>
      <c r="D312" s="630"/>
      <c r="E312" s="630"/>
      <c r="F312" s="630"/>
    </row>
    <row r="313" spans="1:6" s="627" customFormat="1" ht="16.5" thickBot="1">
      <c r="A313" s="712" t="s">
        <v>824</v>
      </c>
      <c r="B313" s="713" t="s">
        <v>823</v>
      </c>
      <c r="C313" s="711"/>
      <c r="D313" s="630"/>
      <c r="E313" s="630"/>
      <c r="F313" s="630"/>
    </row>
    <row r="314" spans="1:6" s="627" customFormat="1" ht="16.5" thickBot="1">
      <c r="A314" s="712"/>
      <c r="B314" s="714" t="s">
        <v>28</v>
      </c>
      <c r="C314" s="711"/>
      <c r="D314" s="630"/>
      <c r="E314" s="630"/>
      <c r="F314" s="630"/>
    </row>
    <row r="315" spans="1:6" s="627" customFormat="1" ht="16.5" thickBot="1">
      <c r="A315" s="712"/>
      <c r="B315" s="714" t="s">
        <v>822</v>
      </c>
      <c r="C315" s="711"/>
      <c r="D315" s="630"/>
      <c r="E315" s="630"/>
      <c r="F315" s="630"/>
    </row>
    <row r="316" spans="1:6" ht="33.75" customHeight="1" thickBot="1">
      <c r="A316" s="832" t="s">
        <v>821</v>
      </c>
      <c r="B316" s="832"/>
      <c r="C316" s="832"/>
      <c r="D316" s="630"/>
      <c r="E316" s="630"/>
      <c r="F316" s="630"/>
    </row>
    <row r="317" spans="1:6" ht="19.5" thickBot="1">
      <c r="A317" s="715" t="s">
        <v>820</v>
      </c>
      <c r="B317" s="632" t="s">
        <v>766</v>
      </c>
      <c r="C317" s="716" t="s">
        <v>963</v>
      </c>
      <c r="D317" s="630"/>
      <c r="E317" s="630"/>
      <c r="F317" s="630"/>
    </row>
    <row r="318" spans="1:6">
      <c r="A318" s="650">
        <v>1</v>
      </c>
      <c r="B318" s="669" t="s">
        <v>756</v>
      </c>
      <c r="C318" s="755" t="e">
        <f>E18</f>
        <v>#REF!</v>
      </c>
      <c r="D318" s="630"/>
      <c r="E318" s="630"/>
      <c r="F318" s="630"/>
    </row>
    <row r="319" spans="1:6">
      <c r="A319" s="641">
        <v>2</v>
      </c>
      <c r="B319" s="660" t="s">
        <v>758</v>
      </c>
      <c r="C319" s="756" t="e">
        <f>E32</f>
        <v>#REF!</v>
      </c>
      <c r="D319" s="630"/>
      <c r="E319" s="630"/>
      <c r="F319" s="630"/>
    </row>
    <row r="320" spans="1:6" ht="38.25">
      <c r="A320" s="641">
        <v>3</v>
      </c>
      <c r="B320" s="660" t="s">
        <v>819</v>
      </c>
      <c r="C320" s="756" t="e">
        <f>E51</f>
        <v>#REF!</v>
      </c>
      <c r="D320" s="630"/>
      <c r="E320" s="630"/>
      <c r="F320" s="630"/>
    </row>
    <row r="321" spans="1:6">
      <c r="A321" s="641">
        <v>4</v>
      </c>
      <c r="B321" s="660" t="s">
        <v>768</v>
      </c>
      <c r="C321" s="717">
        <f>E62</f>
        <v>0</v>
      </c>
      <c r="D321" s="630"/>
      <c r="E321" s="630"/>
      <c r="F321" s="630"/>
    </row>
    <row r="322" spans="1:6">
      <c r="A322" s="641">
        <v>5</v>
      </c>
      <c r="B322" s="660" t="s">
        <v>769</v>
      </c>
      <c r="C322" s="756" t="e">
        <f>E70</f>
        <v>#REF!</v>
      </c>
      <c r="D322" s="630"/>
      <c r="E322" s="630"/>
      <c r="F322" s="630"/>
    </row>
    <row r="323" spans="1:6" ht="38.25">
      <c r="A323" s="641">
        <v>6</v>
      </c>
      <c r="B323" s="660" t="s">
        <v>818</v>
      </c>
      <c r="C323" s="756" t="e">
        <f>E81</f>
        <v>#REF!</v>
      </c>
      <c r="D323" s="630"/>
      <c r="E323" s="630"/>
      <c r="F323" s="630"/>
    </row>
    <row r="324" spans="1:6" ht="51">
      <c r="A324" s="641">
        <v>7</v>
      </c>
      <c r="B324" s="660" t="s">
        <v>771</v>
      </c>
      <c r="C324" s="717">
        <f>E98</f>
        <v>0</v>
      </c>
      <c r="D324" s="630"/>
      <c r="E324" s="630"/>
      <c r="F324" s="630"/>
    </row>
    <row r="325" spans="1:6">
      <c r="A325" s="641">
        <v>8</v>
      </c>
      <c r="B325" s="660" t="s">
        <v>817</v>
      </c>
      <c r="C325" s="756" t="e">
        <f>E175</f>
        <v>#REF!</v>
      </c>
      <c r="D325" s="630"/>
      <c r="E325" s="630"/>
      <c r="F325" s="630"/>
    </row>
    <row r="326" spans="1:6">
      <c r="A326" s="641">
        <v>9</v>
      </c>
      <c r="B326" s="660" t="s">
        <v>773</v>
      </c>
      <c r="C326" s="717"/>
      <c r="D326" s="630"/>
      <c r="E326" s="630"/>
      <c r="F326" s="630"/>
    </row>
    <row r="327" spans="1:6">
      <c r="A327" s="641">
        <v>10</v>
      </c>
      <c r="B327" s="660" t="s">
        <v>774</v>
      </c>
      <c r="C327" s="717">
        <f>E200</f>
        <v>0</v>
      </c>
      <c r="D327" s="630"/>
      <c r="E327" s="630"/>
      <c r="F327" s="630"/>
    </row>
    <row r="328" spans="1:6" ht="38.25">
      <c r="A328" s="641">
        <v>11</v>
      </c>
      <c r="B328" s="660" t="s">
        <v>816</v>
      </c>
      <c r="C328" s="717">
        <f>E211</f>
        <v>0</v>
      </c>
      <c r="D328" s="630"/>
      <c r="E328" s="630"/>
      <c r="F328" s="630"/>
    </row>
    <row r="329" spans="1:6" ht="89.25">
      <c r="A329" s="641">
        <v>12</v>
      </c>
      <c r="B329" s="660" t="s">
        <v>776</v>
      </c>
      <c r="C329" s="717">
        <f>E222</f>
        <v>0</v>
      </c>
      <c r="D329" s="630"/>
      <c r="E329" s="630"/>
      <c r="F329" s="630"/>
    </row>
    <row r="330" spans="1:6">
      <c r="A330" s="641">
        <v>13</v>
      </c>
      <c r="B330" s="660" t="s">
        <v>777</v>
      </c>
      <c r="C330" s="717">
        <f>D235</f>
        <v>0</v>
      </c>
      <c r="D330" s="630"/>
      <c r="E330" s="630"/>
      <c r="F330" s="630"/>
    </row>
    <row r="331" spans="1:6" ht="38.25">
      <c r="A331" s="641">
        <v>14</v>
      </c>
      <c r="B331" s="660" t="s">
        <v>778</v>
      </c>
      <c r="C331" s="717">
        <f>E243</f>
        <v>0</v>
      </c>
      <c r="D331" s="630"/>
      <c r="E331" s="630"/>
      <c r="F331" s="630"/>
    </row>
    <row r="332" spans="1:6">
      <c r="A332" s="641">
        <v>15</v>
      </c>
      <c r="B332" s="660" t="s">
        <v>779</v>
      </c>
      <c r="C332" s="717">
        <f>E252</f>
        <v>0</v>
      </c>
      <c r="D332" s="630"/>
      <c r="E332" s="630"/>
      <c r="F332" s="630"/>
    </row>
    <row r="333" spans="1:6" ht="25.5">
      <c r="A333" s="641">
        <v>16</v>
      </c>
      <c r="B333" s="660" t="s">
        <v>780</v>
      </c>
      <c r="C333" s="717">
        <f>E268</f>
        <v>0</v>
      </c>
      <c r="D333" s="630"/>
      <c r="E333" s="630"/>
      <c r="F333" s="630"/>
    </row>
    <row r="334" spans="1:6">
      <c r="A334" s="641">
        <v>17</v>
      </c>
      <c r="B334" s="660" t="s">
        <v>781</v>
      </c>
      <c r="C334" s="717">
        <f>E276</f>
        <v>0</v>
      </c>
      <c r="D334" s="630"/>
      <c r="E334" s="630"/>
      <c r="F334" s="630"/>
    </row>
    <row r="335" spans="1:6" ht="38.25">
      <c r="A335" s="641">
        <v>18</v>
      </c>
      <c r="B335" s="660" t="s">
        <v>782</v>
      </c>
      <c r="C335" s="717">
        <f>E283</f>
        <v>0</v>
      </c>
      <c r="D335" s="630"/>
      <c r="E335" s="630"/>
      <c r="F335" s="630"/>
    </row>
    <row r="336" spans="1:6" ht="25.5">
      <c r="A336" s="641">
        <v>19</v>
      </c>
      <c r="B336" s="660" t="s">
        <v>783</v>
      </c>
      <c r="C336" s="717">
        <f>E283</f>
        <v>0</v>
      </c>
      <c r="D336" s="630"/>
      <c r="E336" s="630"/>
      <c r="F336" s="630"/>
    </row>
    <row r="337" spans="1:6" ht="64.5" thickBot="1">
      <c r="A337" s="653">
        <v>20</v>
      </c>
      <c r="B337" s="691" t="s">
        <v>815</v>
      </c>
      <c r="C337" s="756" t="e">
        <f>SUM(C318:C335)</f>
        <v>#REF!</v>
      </c>
      <c r="D337" s="630"/>
      <c r="E337" s="630"/>
      <c r="F337" s="630"/>
    </row>
    <row r="338" spans="1:6">
      <c r="A338" s="628"/>
      <c r="B338" s="629"/>
      <c r="C338" s="630"/>
      <c r="D338" s="630"/>
      <c r="E338" s="630"/>
      <c r="F338" s="630"/>
    </row>
    <row r="339" spans="1:6">
      <c r="A339" s="628"/>
      <c r="B339" s="629"/>
      <c r="C339" s="630"/>
      <c r="D339" s="630"/>
      <c r="E339" s="630"/>
      <c r="F339" s="630"/>
    </row>
    <row r="340" spans="1:6">
      <c r="A340" s="812" t="s">
        <v>814</v>
      </c>
      <c r="B340" s="812"/>
      <c r="C340" s="812"/>
      <c r="D340" s="812"/>
      <c r="E340" s="812"/>
      <c r="F340" s="630"/>
    </row>
    <row r="341" spans="1:6">
      <c r="A341" s="813" t="s">
        <v>813</v>
      </c>
      <c r="B341" s="813"/>
      <c r="C341" s="813"/>
      <c r="D341" s="813"/>
      <c r="E341" s="813"/>
      <c r="F341" s="630"/>
    </row>
    <row r="342" spans="1:6" ht="27.75" customHeight="1">
      <c r="A342" s="828" t="s">
        <v>812</v>
      </c>
      <c r="B342" s="828"/>
      <c r="C342" s="828"/>
      <c r="D342" s="828"/>
      <c r="E342" s="828"/>
      <c r="F342" s="630"/>
    </row>
    <row r="343" spans="1:6">
      <c r="A343" s="628"/>
      <c r="B343" s="629"/>
      <c r="C343" s="630"/>
      <c r="D343" s="630"/>
      <c r="E343" s="630"/>
      <c r="F343" s="630"/>
    </row>
    <row r="344" spans="1:6">
      <c r="A344" s="628"/>
      <c r="B344" s="630" t="s">
        <v>811</v>
      </c>
      <c r="C344" s="630"/>
      <c r="D344" s="718"/>
      <c r="E344" s="718"/>
      <c r="F344" s="630"/>
    </row>
    <row r="345" spans="1:6">
      <c r="A345" s="628"/>
      <c r="B345" s="629"/>
      <c r="C345" s="630"/>
      <c r="D345" s="719"/>
      <c r="E345" s="719"/>
      <c r="F345" s="630"/>
    </row>
    <row r="346" spans="1:6">
      <c r="A346" s="628"/>
      <c r="B346" s="630" t="s">
        <v>810</v>
      </c>
      <c r="C346" s="630"/>
      <c r="D346" s="630"/>
      <c r="E346" s="630"/>
      <c r="F346" s="630"/>
    </row>
    <row r="347" spans="1:6">
      <c r="A347" s="628"/>
      <c r="B347" s="629"/>
      <c r="C347" s="630"/>
      <c r="D347" s="630"/>
      <c r="E347" s="630"/>
      <c r="F347" s="630"/>
    </row>
    <row r="348" spans="1:6" s="627" customFormat="1" ht="15.75">
      <c r="A348" s="628"/>
      <c r="B348" s="630" t="s">
        <v>809</v>
      </c>
      <c r="C348" s="630" t="s">
        <v>808</v>
      </c>
      <c r="D348" s="630"/>
      <c r="E348" s="630"/>
      <c r="F348" s="630"/>
    </row>
    <row r="349" spans="1:6">
      <c r="A349" s="628"/>
      <c r="B349" s="629"/>
      <c r="C349" s="630"/>
      <c r="D349" s="630"/>
      <c r="E349" s="630"/>
      <c r="F349" s="630"/>
    </row>
    <row r="350" spans="1:6">
      <c r="A350" s="628"/>
      <c r="B350" s="629"/>
      <c r="C350" s="630"/>
      <c r="D350" s="630"/>
      <c r="E350" s="630"/>
      <c r="F350" s="630"/>
    </row>
    <row r="352" spans="1:6">
      <c r="A352" s="613" t="s">
        <v>761</v>
      </c>
      <c r="B352"/>
      <c r="C352"/>
      <c r="D352"/>
    </row>
    <row r="353" spans="1:4">
      <c r="A353" s="613" t="s">
        <v>762</v>
      </c>
      <c r="B353"/>
      <c r="C353"/>
      <c r="D353"/>
    </row>
    <row r="354" spans="1:4">
      <c r="A354" s="613" t="s">
        <v>763</v>
      </c>
      <c r="B354"/>
      <c r="C354"/>
      <c r="D354"/>
    </row>
    <row r="355" spans="1:4">
      <c r="A355" s="613" t="s">
        <v>764</v>
      </c>
      <c r="B355"/>
      <c r="C355"/>
      <c r="D355"/>
    </row>
    <row r="356" spans="1:4" ht="19.5" thickBot="1">
      <c r="A356" s="613" t="s">
        <v>765</v>
      </c>
      <c r="B356"/>
      <c r="C356"/>
      <c r="D356"/>
    </row>
    <row r="357" spans="1:4" ht="37.5" thickBot="1">
      <c r="A357" s="616" t="s">
        <v>38</v>
      </c>
      <c r="B357" s="807" t="s">
        <v>766</v>
      </c>
      <c r="C357" s="808"/>
      <c r="D357" s="617" t="s">
        <v>805</v>
      </c>
    </row>
    <row r="358" spans="1:4" ht="24.75" customHeight="1" thickBot="1">
      <c r="A358" s="618">
        <v>1</v>
      </c>
      <c r="B358" s="805" t="s">
        <v>756</v>
      </c>
      <c r="C358" s="806"/>
      <c r="D358" s="619">
        <v>0.356041</v>
      </c>
    </row>
    <row r="359" spans="1:4" ht="24.75" customHeight="1" thickBot="1">
      <c r="A359" s="618">
        <v>2</v>
      </c>
      <c r="B359" s="805" t="s">
        <v>758</v>
      </c>
      <c r="C359" s="806"/>
      <c r="D359" s="619">
        <v>0.38269500000000001</v>
      </c>
    </row>
    <row r="360" spans="1:4" ht="24.75" customHeight="1" thickBot="1">
      <c r="A360" s="618">
        <v>3</v>
      </c>
      <c r="B360" s="805" t="s">
        <v>767</v>
      </c>
      <c r="C360" s="806"/>
      <c r="D360" s="619">
        <v>0.16775699999999999</v>
      </c>
    </row>
    <row r="361" spans="1:4" ht="24.75" customHeight="1" thickBot="1">
      <c r="A361" s="618">
        <v>4</v>
      </c>
      <c r="B361" s="805" t="s">
        <v>768</v>
      </c>
      <c r="C361" s="806"/>
      <c r="D361" s="619">
        <v>8.4931999999999994E-2</v>
      </c>
    </row>
    <row r="362" spans="1:4" ht="24.75" customHeight="1" thickBot="1">
      <c r="A362" s="618">
        <v>5</v>
      </c>
      <c r="B362" s="805" t="s">
        <v>769</v>
      </c>
      <c r="C362" s="806"/>
      <c r="D362" s="619">
        <v>0.36280200000000001</v>
      </c>
    </row>
    <row r="363" spans="1:4" ht="24.75" customHeight="1" thickBot="1">
      <c r="A363" s="618">
        <v>6</v>
      </c>
      <c r="B363" s="805" t="s">
        <v>770</v>
      </c>
      <c r="C363" s="806"/>
      <c r="D363" s="619">
        <v>0</v>
      </c>
    </row>
    <row r="364" spans="1:4" ht="24.75" customHeight="1" thickBot="1">
      <c r="A364" s="618">
        <v>7</v>
      </c>
      <c r="B364" s="805" t="s">
        <v>771</v>
      </c>
      <c r="C364" s="806"/>
      <c r="D364" s="619">
        <v>0.87827299999999997</v>
      </c>
    </row>
    <row r="365" spans="1:4" ht="24.75" customHeight="1" thickBot="1">
      <c r="A365" s="618">
        <v>8</v>
      </c>
      <c r="B365" s="805" t="s">
        <v>772</v>
      </c>
      <c r="C365" s="806"/>
      <c r="D365" s="619">
        <v>0</v>
      </c>
    </row>
    <row r="366" spans="1:4" ht="24.75" customHeight="1" thickBot="1">
      <c r="A366" s="618">
        <v>9</v>
      </c>
      <c r="B366" s="805" t="s">
        <v>773</v>
      </c>
      <c r="C366" s="806"/>
      <c r="D366" s="619">
        <v>0</v>
      </c>
    </row>
    <row r="367" spans="1:4" ht="24.75" customHeight="1" thickBot="1">
      <c r="A367" s="618">
        <v>10</v>
      </c>
      <c r="B367" s="805" t="s">
        <v>774</v>
      </c>
      <c r="C367" s="806"/>
      <c r="D367" s="619">
        <v>0</v>
      </c>
    </row>
    <row r="368" spans="1:4" ht="24.75" customHeight="1" thickBot="1">
      <c r="A368" s="618">
        <v>11</v>
      </c>
      <c r="B368" s="805" t="s">
        <v>775</v>
      </c>
      <c r="C368" s="806"/>
      <c r="D368" s="619">
        <v>0.15193499999999999</v>
      </c>
    </row>
    <row r="369" spans="1:4" ht="24.75" customHeight="1" thickBot="1">
      <c r="A369" s="618">
        <v>12</v>
      </c>
      <c r="B369" s="805" t="s">
        <v>776</v>
      </c>
      <c r="C369" s="806"/>
      <c r="D369" s="619">
        <v>0.121548</v>
      </c>
    </row>
    <row r="370" spans="1:4" ht="24.75" customHeight="1" thickBot="1">
      <c r="A370" s="618">
        <v>13</v>
      </c>
      <c r="B370" s="805" t="s">
        <v>777</v>
      </c>
      <c r="C370" s="806"/>
      <c r="D370" s="619">
        <v>1.0200000000000001E-3</v>
      </c>
    </row>
    <row r="371" spans="1:4" ht="24.75" customHeight="1" thickBot="1">
      <c r="A371" s="618">
        <v>14</v>
      </c>
      <c r="B371" s="805" t="s">
        <v>778</v>
      </c>
      <c r="C371" s="806"/>
      <c r="D371" s="619">
        <v>0</v>
      </c>
    </row>
    <row r="372" spans="1:4" ht="24.75" customHeight="1" thickBot="1">
      <c r="A372" s="618">
        <v>15</v>
      </c>
      <c r="B372" s="805" t="s">
        <v>779</v>
      </c>
      <c r="C372" s="806"/>
      <c r="D372" s="619">
        <v>2.431E-3</v>
      </c>
    </row>
    <row r="373" spans="1:4" ht="24.75" customHeight="1" thickBot="1">
      <c r="A373" s="618">
        <v>16</v>
      </c>
      <c r="B373" s="805" t="s">
        <v>780</v>
      </c>
      <c r="C373" s="806"/>
      <c r="D373" s="619">
        <v>0.282084</v>
      </c>
    </row>
    <row r="374" spans="1:4" ht="24.75" customHeight="1" thickBot="1">
      <c r="A374" s="618">
        <v>17</v>
      </c>
      <c r="B374" s="805" t="s">
        <v>781</v>
      </c>
      <c r="C374" s="806"/>
      <c r="D374" s="619">
        <v>0.190715</v>
      </c>
    </row>
    <row r="375" spans="1:4" ht="24.75" customHeight="1" thickBot="1">
      <c r="A375" s="618">
        <v>18</v>
      </c>
      <c r="B375" s="805" t="s">
        <v>782</v>
      </c>
      <c r="C375" s="806"/>
      <c r="D375" s="619">
        <v>0</v>
      </c>
    </row>
    <row r="376" spans="1:4" ht="24.75" customHeight="1" thickBot="1">
      <c r="A376" s="618">
        <v>19</v>
      </c>
      <c r="B376" s="805" t="s">
        <v>783</v>
      </c>
      <c r="C376" s="806"/>
      <c r="D376" s="619">
        <v>2.9822329999999999</v>
      </c>
    </row>
    <row r="377" spans="1:4" ht="24.75" customHeight="1" thickBot="1">
      <c r="A377" s="618">
        <v>20</v>
      </c>
      <c r="B377" s="805" t="s">
        <v>784</v>
      </c>
      <c r="C377" s="806"/>
      <c r="D377" s="620">
        <v>2.9822329999999999</v>
      </c>
    </row>
    <row r="378" spans="1:4">
      <c r="A378" s="817"/>
      <c r="B378" s="814" t="s">
        <v>803</v>
      </c>
      <c r="C378" s="621" t="s">
        <v>785</v>
      </c>
      <c r="D378" s="814">
        <v>3.94</v>
      </c>
    </row>
    <row r="379" spans="1:4" ht="19.5" thickBot="1">
      <c r="A379" s="816"/>
      <c r="B379" s="818"/>
      <c r="C379" s="619" t="s">
        <v>786</v>
      </c>
      <c r="D379" s="815"/>
    </row>
    <row r="380" spans="1:4">
      <c r="A380" s="816"/>
      <c r="B380" s="818"/>
      <c r="C380" s="621" t="s">
        <v>787</v>
      </c>
      <c r="D380" s="814">
        <v>4.12</v>
      </c>
    </row>
    <row r="381" spans="1:4" ht="19.5" thickBot="1">
      <c r="A381" s="816"/>
      <c r="B381" s="815"/>
      <c r="C381" s="619" t="s">
        <v>786</v>
      </c>
      <c r="D381" s="815"/>
    </row>
    <row r="382" spans="1:4" ht="30.75">
      <c r="A382" s="816"/>
      <c r="B382" s="622" t="s">
        <v>804</v>
      </c>
      <c r="C382" s="621" t="s">
        <v>785</v>
      </c>
      <c r="D382" s="814">
        <v>2.48</v>
      </c>
    </row>
    <row r="383" spans="1:4" ht="19.5" thickBot="1">
      <c r="A383" s="816"/>
      <c r="B383" s="622" t="s">
        <v>788</v>
      </c>
      <c r="C383" s="619" t="s">
        <v>786</v>
      </c>
      <c r="D383" s="815"/>
    </row>
    <row r="384" spans="1:4">
      <c r="A384" s="816"/>
      <c r="B384" s="614"/>
      <c r="C384" s="621" t="s">
        <v>787</v>
      </c>
      <c r="D384" s="814">
        <v>2.59</v>
      </c>
    </row>
    <row r="385" spans="1:4" ht="19.5" thickBot="1">
      <c r="A385" s="819"/>
      <c r="B385" s="615"/>
      <c r="C385" s="619" t="s">
        <v>786</v>
      </c>
      <c r="D385" s="815"/>
    </row>
    <row r="386" spans="1:4" ht="19.5" thickBot="1">
      <c r="A386" s="820"/>
      <c r="B386" s="820"/>
      <c r="C386" s="821"/>
      <c r="D386" s="623"/>
    </row>
    <row r="387" spans="1:4" ht="19.5" thickBot="1">
      <c r="A387" s="618"/>
      <c r="B387" s="770"/>
      <c r="C387" s="771"/>
      <c r="D387" s="619" t="s">
        <v>806</v>
      </c>
    </row>
    <row r="388" spans="1:4" ht="36" thickBot="1">
      <c r="A388"/>
      <c r="B388" s="618" t="s">
        <v>789</v>
      </c>
      <c r="C388" s="771"/>
      <c r="D388" s="619" t="s">
        <v>797</v>
      </c>
    </row>
    <row r="389" spans="1:4" ht="24.75" thickBot="1">
      <c r="A389"/>
      <c r="B389" s="618" t="s">
        <v>790</v>
      </c>
      <c r="C389" s="771"/>
      <c r="D389" s="619" t="s">
        <v>798</v>
      </c>
    </row>
    <row r="390" spans="1:4" ht="39" thickBot="1">
      <c r="A390"/>
      <c r="B390" s="618" t="s">
        <v>791</v>
      </c>
      <c r="C390" s="771"/>
      <c r="D390" s="619" t="s">
        <v>807</v>
      </c>
    </row>
    <row r="391" spans="1:4" ht="36" thickBot="1">
      <c r="A391"/>
      <c r="B391" s="618" t="s">
        <v>792</v>
      </c>
      <c r="C391" s="771"/>
      <c r="D391" s="619" t="s">
        <v>799</v>
      </c>
    </row>
    <row r="392" spans="1:4" ht="24.75" thickBot="1">
      <c r="A392"/>
      <c r="B392" s="618" t="s">
        <v>793</v>
      </c>
      <c r="C392" s="771"/>
      <c r="D392" s="619" t="s">
        <v>800</v>
      </c>
    </row>
    <row r="393" spans="1:4" ht="19.5" thickBot="1">
      <c r="A393"/>
      <c r="B393" s="618" t="s">
        <v>794</v>
      </c>
      <c r="C393" s="771"/>
      <c r="D393" s="619"/>
    </row>
    <row r="394" spans="1:4" ht="24.75" thickBot="1">
      <c r="A394"/>
      <c r="B394" s="618" t="s">
        <v>795</v>
      </c>
      <c r="C394" s="771"/>
      <c r="D394" s="619" t="s">
        <v>801</v>
      </c>
    </row>
    <row r="395" spans="1:4" ht="36" thickBot="1">
      <c r="A395"/>
      <c r="B395" s="618" t="s">
        <v>796</v>
      </c>
      <c r="C395" s="771"/>
      <c r="D395" s="619" t="s">
        <v>802</v>
      </c>
    </row>
  </sheetData>
  <mergeCells count="58">
    <mergeCell ref="A342:E342"/>
    <mergeCell ref="A245:E245"/>
    <mergeCell ref="A254:E254"/>
    <mergeCell ref="A270:E270"/>
    <mergeCell ref="A278:E278"/>
    <mergeCell ref="A285:C285"/>
    <mergeCell ref="A316:C316"/>
    <mergeCell ref="C1:E1"/>
    <mergeCell ref="A4:E4"/>
    <mergeCell ref="A224:E224"/>
    <mergeCell ref="A237:E237"/>
    <mergeCell ref="A6:E6"/>
    <mergeCell ref="A20:E20"/>
    <mergeCell ref="A34:E34"/>
    <mergeCell ref="A53:E53"/>
    <mergeCell ref="A64:E64"/>
    <mergeCell ref="A202:E202"/>
    <mergeCell ref="A2:E2"/>
    <mergeCell ref="A213:E213"/>
    <mergeCell ref="A72:E72"/>
    <mergeCell ref="A177:E177"/>
    <mergeCell ref="A186:E186"/>
    <mergeCell ref="A83:E83"/>
    <mergeCell ref="A382:A383"/>
    <mergeCell ref="D382:D383"/>
    <mergeCell ref="A384:A385"/>
    <mergeCell ref="D384:D385"/>
    <mergeCell ref="A386:C386"/>
    <mergeCell ref="D378:D379"/>
    <mergeCell ref="A380:A381"/>
    <mergeCell ref="D380:D381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A378:A379"/>
    <mergeCell ref="B378:B381"/>
    <mergeCell ref="B100:E100"/>
    <mergeCell ref="B368:C368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A165:E165"/>
    <mergeCell ref="A340:E340"/>
    <mergeCell ref="A341:E341"/>
  </mergeCells>
  <conditionalFormatting sqref="H51 H70 H81 H32">
    <cfRule type="expression" dxfId="5" priority="15">
      <formula>H32=0</formula>
    </cfRule>
    <cfRule type="expression" dxfId="4" priority="16">
      <formula>H32=0</formula>
    </cfRule>
  </conditionalFormatting>
  <conditionalFormatting sqref="H175">
    <cfRule type="expression" dxfId="3" priority="3">
      <formula>H175=0</formula>
    </cfRule>
    <cfRule type="expression" dxfId="2" priority="4">
      <formula>H175=0</formula>
    </cfRule>
  </conditionalFormatting>
  <conditionalFormatting sqref="H175">
    <cfRule type="expression" dxfId="1" priority="1">
      <formula>H175=0</formula>
    </cfRule>
    <cfRule type="expression" dxfId="0" priority="2">
      <formula>H175=0</formula>
    </cfRule>
  </conditionalFormatting>
  <printOptions horizontalCentered="1"/>
  <pageMargins left="0.70866141732283472" right="0.53" top="0.6692913385826772" bottom="0.6692913385826772" header="0.31496062992125984" footer="0.31496062992125984"/>
  <pageSetup paperSize="9" scale="80" fitToHeight="7" orientation="portrait" r:id="rId1"/>
  <headerFooter differentFirst="1"/>
  <rowBreaks count="1" manualBreakCount="1">
    <brk id="6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266"/>
  <sheetViews>
    <sheetView topLeftCell="A2" workbookViewId="0">
      <selection activeCell="AV22" sqref="AV22"/>
    </sheetView>
  </sheetViews>
  <sheetFormatPr defaultColWidth="9.140625" defaultRowHeight="15.75" customHeight="1" outlineLevelRow="1"/>
  <cols>
    <col min="1" max="1" width="7.28515625" style="127" customWidth="1"/>
    <col min="2" max="2" width="24.85546875" style="125" customWidth="1"/>
    <col min="3" max="4" width="8" style="125" hidden="1" customWidth="1"/>
    <col min="5" max="5" width="16.28515625" style="125" hidden="1" customWidth="1"/>
    <col min="6" max="6" width="11.7109375" style="125" hidden="1" customWidth="1"/>
    <col min="7" max="7" width="9.5703125" style="125" hidden="1" customWidth="1"/>
    <col min="8" max="8" width="8.85546875" style="125" hidden="1" customWidth="1"/>
    <col min="9" max="9" width="8.42578125" style="125" hidden="1" customWidth="1"/>
    <col min="10" max="10" width="8.5703125" style="125" hidden="1" customWidth="1"/>
    <col min="11" max="11" width="9" style="127" hidden="1" customWidth="1"/>
    <col min="12" max="12" width="9.5703125" style="125" hidden="1" customWidth="1"/>
    <col min="13" max="13" width="6.5703125" style="127" hidden="1" customWidth="1"/>
    <col min="14" max="14" width="10.28515625" style="127" hidden="1" customWidth="1"/>
    <col min="15" max="16" width="6.140625" style="127" hidden="1" customWidth="1"/>
    <col min="17" max="17" width="7" style="125" hidden="1" customWidth="1"/>
    <col min="18" max="20" width="9.140625" style="125" hidden="1" customWidth="1"/>
    <col min="21" max="21" width="9.5703125" style="128" hidden="1" customWidth="1"/>
    <col min="22" max="22" width="9.5703125" style="129" hidden="1" customWidth="1"/>
    <col min="23" max="23" width="10.42578125" style="125" hidden="1" customWidth="1"/>
    <col min="24" max="26" width="9.140625" style="125" hidden="1" customWidth="1"/>
    <col min="27" max="27" width="10" style="125" hidden="1" customWidth="1"/>
    <col min="28" max="28" width="8.140625" style="125" hidden="1" customWidth="1"/>
    <col min="29" max="29" width="11.140625" style="125" customWidth="1"/>
    <col min="30" max="30" width="9.85546875" style="125" customWidth="1"/>
    <col min="31" max="31" width="10.5703125" style="125" customWidth="1"/>
    <col min="32" max="32" width="9.7109375" style="130" customWidth="1"/>
    <col min="33" max="33" width="10.140625" style="130" customWidth="1"/>
    <col min="34" max="37" width="7.7109375" style="130" customWidth="1"/>
    <col min="38" max="38" width="9.85546875" style="130" customWidth="1"/>
    <col min="39" max="39" width="10.28515625" style="130" hidden="1" customWidth="1"/>
    <col min="40" max="40" width="9.85546875" style="131" hidden="1" customWidth="1"/>
    <col min="41" max="41" width="9.5703125" style="131" hidden="1" customWidth="1"/>
    <col min="42" max="42" width="10.42578125" style="125" hidden="1" customWidth="1"/>
    <col min="43" max="43" width="8.140625" style="125" hidden="1" customWidth="1"/>
    <col min="44" max="44" width="9.85546875" style="125" hidden="1" customWidth="1"/>
    <col min="45" max="45" width="9.85546875" style="125" customWidth="1"/>
    <col min="46" max="46" width="12.5703125" style="125" customWidth="1"/>
    <col min="47" max="47" width="9.140625" style="132" customWidth="1"/>
    <col min="48" max="16384" width="9.140625" style="125"/>
  </cols>
  <sheetData>
    <row r="1" spans="2:46" ht="15" hidden="1">
      <c r="B1" s="124"/>
      <c r="I1" s="126"/>
    </row>
    <row r="2" spans="2:46" ht="24" customHeight="1">
      <c r="AN2" s="133" t="s">
        <v>229</v>
      </c>
      <c r="AO2" s="133" t="s">
        <v>230</v>
      </c>
      <c r="AP2" s="133" t="s">
        <v>231</v>
      </c>
      <c r="AQ2" s="133" t="s">
        <v>232</v>
      </c>
      <c r="AR2" s="133" t="s">
        <v>233</v>
      </c>
      <c r="AS2" s="133" t="s">
        <v>234</v>
      </c>
    </row>
    <row r="3" spans="2:46" ht="15" hidden="1">
      <c r="AF3" s="125"/>
      <c r="AG3" s="125"/>
      <c r="AH3" s="131"/>
      <c r="AI3" s="131"/>
      <c r="AJ3" s="131"/>
      <c r="AK3" s="131"/>
      <c r="AL3" s="131"/>
      <c r="AM3" s="131"/>
    </row>
    <row r="4" spans="2:46" ht="15" hidden="1">
      <c r="J4" s="134"/>
      <c r="K4" s="135"/>
      <c r="AF4" s="125"/>
      <c r="AG4" s="125"/>
      <c r="AH4" s="131"/>
      <c r="AI4" s="131"/>
      <c r="AJ4" s="131"/>
      <c r="AK4" s="131"/>
      <c r="AL4" s="131"/>
      <c r="AM4" s="131"/>
    </row>
    <row r="5" spans="2:46" ht="15" hidden="1">
      <c r="L5" s="134"/>
      <c r="M5" s="135"/>
      <c r="AF5" s="125"/>
      <c r="AG5" s="125"/>
      <c r="AH5" s="131"/>
      <c r="AI5" s="131"/>
      <c r="AJ5" s="131"/>
      <c r="AK5" s="131"/>
      <c r="AL5" s="131"/>
      <c r="AM5" s="131"/>
    </row>
    <row r="6" spans="2:46" hidden="1">
      <c r="B6" s="136"/>
      <c r="C6" s="136"/>
      <c r="D6" s="136"/>
      <c r="E6" s="137"/>
      <c r="F6" s="136"/>
      <c r="G6" s="136"/>
      <c r="H6" s="136"/>
      <c r="I6" s="136"/>
      <c r="J6" s="136"/>
      <c r="K6" s="138"/>
      <c r="L6" s="136"/>
      <c r="M6" s="138"/>
      <c r="AF6" s="125"/>
      <c r="AG6" s="125"/>
      <c r="AH6" s="131"/>
      <c r="AI6" s="131"/>
      <c r="AJ6" s="131"/>
      <c r="AK6" s="131"/>
      <c r="AL6" s="131"/>
      <c r="AM6" s="131"/>
    </row>
    <row r="7" spans="2:46">
      <c r="B7" s="136"/>
      <c r="C7" s="136"/>
      <c r="D7" s="136"/>
      <c r="E7" s="137"/>
      <c r="F7" s="136"/>
      <c r="G7" s="136"/>
      <c r="H7" s="136"/>
      <c r="I7" s="136"/>
      <c r="J7" s="136"/>
      <c r="K7" s="138"/>
      <c r="L7" s="136"/>
      <c r="M7" s="138"/>
      <c r="AF7" s="125"/>
      <c r="AG7" s="125"/>
      <c r="AH7" s="131"/>
      <c r="AI7" s="131"/>
      <c r="AJ7" s="131"/>
      <c r="AK7" s="131"/>
      <c r="AL7" s="131"/>
      <c r="AM7" s="131"/>
    </row>
    <row r="8" spans="2:46">
      <c r="B8" s="139" t="s">
        <v>235</v>
      </c>
      <c r="C8" s="140" t="s">
        <v>235</v>
      </c>
      <c r="D8" s="140" t="s">
        <v>235</v>
      </c>
      <c r="E8" s="140" t="s">
        <v>235</v>
      </c>
      <c r="F8" s="140" t="s">
        <v>235</v>
      </c>
      <c r="G8" s="140" t="s">
        <v>235</v>
      </c>
      <c r="H8" s="140" t="s">
        <v>235</v>
      </c>
      <c r="I8" s="140" t="s">
        <v>235</v>
      </c>
      <c r="J8" s="140" t="s">
        <v>235</v>
      </c>
      <c r="K8" s="140" t="s">
        <v>235</v>
      </c>
      <c r="L8" s="140" t="s">
        <v>235</v>
      </c>
      <c r="M8" s="140" t="s">
        <v>235</v>
      </c>
      <c r="N8" s="140" t="s">
        <v>235</v>
      </c>
      <c r="O8" s="140" t="s">
        <v>235</v>
      </c>
      <c r="P8" s="140" t="s">
        <v>235</v>
      </c>
      <c r="Q8" s="140" t="s">
        <v>235</v>
      </c>
      <c r="R8" s="140" t="s">
        <v>235</v>
      </c>
      <c r="S8" s="140" t="s">
        <v>235</v>
      </c>
      <c r="T8" s="140" t="s">
        <v>235</v>
      </c>
      <c r="U8" s="140" t="s">
        <v>235</v>
      </c>
      <c r="V8" s="140" t="s">
        <v>235</v>
      </c>
      <c r="W8" s="140" t="s">
        <v>235</v>
      </c>
      <c r="X8" s="140" t="s">
        <v>235</v>
      </c>
      <c r="Y8" s="140" t="s">
        <v>235</v>
      </c>
      <c r="Z8" s="140" t="s">
        <v>235</v>
      </c>
      <c r="AA8" s="140" t="s">
        <v>235</v>
      </c>
      <c r="AB8" s="140" t="s">
        <v>235</v>
      </c>
      <c r="AC8" s="140"/>
      <c r="AD8" s="140"/>
    </row>
    <row r="9" spans="2:46" ht="8.25" customHeight="1"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141"/>
    </row>
    <row r="10" spans="2:46" ht="8.25" customHeight="1" thickBot="1">
      <c r="B10" s="136"/>
      <c r="C10" s="136"/>
      <c r="D10" s="136"/>
      <c r="E10" s="142"/>
      <c r="F10" s="136"/>
      <c r="G10" s="136"/>
      <c r="H10" s="136"/>
      <c r="I10" s="136"/>
      <c r="J10" s="136"/>
      <c r="K10" s="138"/>
      <c r="L10" s="136"/>
      <c r="M10" s="138"/>
    </row>
    <row r="11" spans="2:46" ht="17.25" hidden="1" customHeight="1" thickBot="1">
      <c r="B11" s="143"/>
      <c r="C11" s="144"/>
      <c r="D11" s="145"/>
      <c r="E11" s="146" t="s">
        <v>236</v>
      </c>
      <c r="F11" s="147"/>
      <c r="G11" s="148" t="s">
        <v>237</v>
      </c>
      <c r="H11" s="149"/>
      <c r="I11" s="149"/>
      <c r="J11" s="149"/>
      <c r="K11" s="150"/>
      <c r="L11" s="149"/>
      <c r="M11" s="150"/>
      <c r="N11" s="151"/>
      <c r="O11" s="151"/>
      <c r="P11" s="151"/>
      <c r="Q11" s="152"/>
      <c r="R11" s="152"/>
      <c r="S11" s="152"/>
      <c r="T11" s="152"/>
      <c r="U11" s="153"/>
      <c r="V11" s="154"/>
      <c r="W11" s="152"/>
      <c r="X11" s="152"/>
      <c r="Y11" s="152"/>
      <c r="Z11" s="152"/>
      <c r="AA11" s="155" t="s">
        <v>238</v>
      </c>
      <c r="AB11" s="156" t="s">
        <v>238</v>
      </c>
      <c r="AC11" s="157"/>
      <c r="AD11" s="157"/>
      <c r="AE11" s="157"/>
      <c r="AF11" s="158"/>
      <c r="AG11" s="158"/>
      <c r="AH11" s="158"/>
      <c r="AI11" s="158"/>
      <c r="AJ11" s="158"/>
      <c r="AK11" s="158"/>
      <c r="AL11" s="158"/>
      <c r="AM11" s="159"/>
      <c r="AN11" s="160"/>
      <c r="AO11" s="160"/>
      <c r="AP11" s="161"/>
      <c r="AQ11" s="162"/>
      <c r="AR11" s="163"/>
      <c r="AS11" s="163"/>
      <c r="AT11" s="164"/>
    </row>
    <row r="12" spans="2:46" ht="15" customHeight="1" outlineLevel="1">
      <c r="B12" s="165"/>
      <c r="C12" s="166"/>
      <c r="D12" s="166"/>
      <c r="E12" s="167" t="s">
        <v>239</v>
      </c>
      <c r="F12" s="167" t="s">
        <v>240</v>
      </c>
      <c r="G12" s="168" t="s">
        <v>241</v>
      </c>
      <c r="H12" s="168" t="s">
        <v>241</v>
      </c>
      <c r="I12" s="169" t="s">
        <v>242</v>
      </c>
      <c r="J12" s="168" t="s">
        <v>241</v>
      </c>
      <c r="K12" s="170" t="s">
        <v>241</v>
      </c>
      <c r="L12" s="168" t="s">
        <v>28</v>
      </c>
      <c r="M12" s="171"/>
      <c r="N12" s="172"/>
      <c r="O12" s="173"/>
      <c r="P12" s="173"/>
      <c r="Q12" s="174"/>
      <c r="R12" s="174"/>
      <c r="S12" s="174"/>
      <c r="T12" s="174"/>
      <c r="U12" s="175"/>
      <c r="V12" s="176"/>
      <c r="W12" s="174"/>
      <c r="X12" s="174"/>
      <c r="Y12" s="174"/>
      <c r="Z12" s="174"/>
      <c r="AA12" s="177" t="s">
        <v>243</v>
      </c>
      <c r="AB12" s="178" t="s">
        <v>239</v>
      </c>
      <c r="AC12" s="178"/>
      <c r="AD12" s="179" t="s">
        <v>239</v>
      </c>
      <c r="AE12" s="179" t="s">
        <v>239</v>
      </c>
      <c r="AF12" s="180" t="s">
        <v>239</v>
      </c>
      <c r="AG12" s="180" t="s">
        <v>239</v>
      </c>
      <c r="AH12" s="180" t="s">
        <v>239</v>
      </c>
      <c r="AI12" s="180"/>
      <c r="AJ12" s="180"/>
      <c r="AK12" s="180"/>
      <c r="AL12" s="180" t="s">
        <v>239</v>
      </c>
      <c r="AM12" s="180" t="s">
        <v>239</v>
      </c>
      <c r="AN12" s="181" t="s">
        <v>244</v>
      </c>
      <c r="AO12" s="182" t="s">
        <v>244</v>
      </c>
      <c r="AP12" s="183" t="s">
        <v>245</v>
      </c>
      <c r="AQ12" s="184" t="s">
        <v>246</v>
      </c>
      <c r="AR12" s="185" t="s">
        <v>247</v>
      </c>
      <c r="AS12" s="180" t="s">
        <v>239</v>
      </c>
      <c r="AT12" s="834" t="s">
        <v>248</v>
      </c>
    </row>
    <row r="13" spans="2:46" ht="36.75" outlineLevel="1">
      <c r="B13" s="186" t="s">
        <v>3</v>
      </c>
      <c r="C13" s="187" t="s">
        <v>249</v>
      </c>
      <c r="D13" s="187" t="s">
        <v>249</v>
      </c>
      <c r="E13" s="167" t="s">
        <v>250</v>
      </c>
      <c r="F13" s="167" t="s">
        <v>250</v>
      </c>
      <c r="G13" s="168" t="s">
        <v>251</v>
      </c>
      <c r="H13" s="168" t="s">
        <v>251</v>
      </c>
      <c r="I13" s="169"/>
      <c r="J13" s="168" t="s">
        <v>251</v>
      </c>
      <c r="K13" s="170" t="s">
        <v>251</v>
      </c>
      <c r="L13" s="168" t="s">
        <v>252</v>
      </c>
      <c r="M13" s="171"/>
      <c r="N13" s="172"/>
      <c r="O13" s="173"/>
      <c r="P13" s="173"/>
      <c r="Q13" s="174"/>
      <c r="R13" s="174"/>
      <c r="S13" s="174"/>
      <c r="T13" s="174"/>
      <c r="U13" s="175"/>
      <c r="V13" s="176"/>
      <c r="W13" s="174"/>
      <c r="X13" s="174"/>
      <c r="Y13" s="174"/>
      <c r="Z13" s="174"/>
      <c r="AA13" s="177" t="s">
        <v>253</v>
      </c>
      <c r="AB13" s="178" t="s">
        <v>254</v>
      </c>
      <c r="AC13" s="178"/>
      <c r="AD13" s="188" t="s">
        <v>255</v>
      </c>
      <c r="AE13" s="189" t="s">
        <v>256</v>
      </c>
      <c r="AF13" s="190" t="s">
        <v>257</v>
      </c>
      <c r="AG13" s="190" t="s">
        <v>257</v>
      </c>
      <c r="AH13" s="191" t="s">
        <v>258</v>
      </c>
      <c r="AI13" s="191"/>
      <c r="AJ13" s="191"/>
      <c r="AK13" s="191"/>
      <c r="AL13" s="191" t="s">
        <v>259</v>
      </c>
      <c r="AM13" s="192" t="s">
        <v>260</v>
      </c>
      <c r="AN13" s="181" t="s">
        <v>261</v>
      </c>
      <c r="AO13" s="193" t="s">
        <v>261</v>
      </c>
      <c r="AP13" s="183" t="s">
        <v>261</v>
      </c>
      <c r="AQ13" s="184" t="s">
        <v>262</v>
      </c>
      <c r="AR13" s="185" t="s">
        <v>263</v>
      </c>
      <c r="AS13" s="192" t="s">
        <v>264</v>
      </c>
      <c r="AT13" s="835"/>
    </row>
    <row r="14" spans="2:46" ht="15" outlineLevel="1">
      <c r="B14" s="194"/>
      <c r="C14" s="187" t="s">
        <v>265</v>
      </c>
      <c r="D14" s="187" t="s">
        <v>266</v>
      </c>
      <c r="E14" s="195" t="s">
        <v>267</v>
      </c>
      <c r="F14" s="167" t="s">
        <v>268</v>
      </c>
      <c r="G14" s="168" t="s">
        <v>250</v>
      </c>
      <c r="H14" s="168" t="s">
        <v>250</v>
      </c>
      <c r="I14" s="169"/>
      <c r="J14" s="168" t="s">
        <v>250</v>
      </c>
      <c r="K14" s="170" t="s">
        <v>250</v>
      </c>
      <c r="L14" s="168" t="s">
        <v>251</v>
      </c>
      <c r="M14" s="171"/>
      <c r="N14" s="172"/>
      <c r="O14" s="173"/>
      <c r="P14" s="173"/>
      <c r="Q14" s="174"/>
      <c r="R14" s="174"/>
      <c r="S14" s="174"/>
      <c r="T14" s="174"/>
      <c r="U14" s="175"/>
      <c r="V14" s="176"/>
      <c r="W14" s="174"/>
      <c r="X14" s="174"/>
      <c r="Y14" s="174"/>
      <c r="Z14" s="174"/>
      <c r="AA14" s="177" t="s">
        <v>269</v>
      </c>
      <c r="AB14" s="178"/>
      <c r="AC14" s="178"/>
      <c r="AD14" s="188"/>
      <c r="AE14" s="188" t="s">
        <v>270</v>
      </c>
      <c r="AF14" s="190" t="s">
        <v>271</v>
      </c>
      <c r="AG14" s="190" t="s">
        <v>271</v>
      </c>
      <c r="AH14" s="191"/>
      <c r="AI14" s="191"/>
      <c r="AJ14" s="191"/>
      <c r="AK14" s="191"/>
      <c r="AL14" s="191" t="s">
        <v>272</v>
      </c>
      <c r="AM14" s="191"/>
      <c r="AN14" s="196" t="s">
        <v>268</v>
      </c>
      <c r="AO14" s="197" t="s">
        <v>268</v>
      </c>
      <c r="AP14" s="183" t="s">
        <v>268</v>
      </c>
      <c r="AQ14" s="184" t="s">
        <v>273</v>
      </c>
      <c r="AR14" s="185" t="s">
        <v>274</v>
      </c>
      <c r="AS14" s="185"/>
      <c r="AT14" s="835"/>
    </row>
    <row r="15" spans="2:46" ht="15" outlineLevel="1">
      <c r="B15" s="194"/>
      <c r="C15" s="187"/>
      <c r="D15" s="187"/>
      <c r="E15" s="167" t="s">
        <v>275</v>
      </c>
      <c r="F15" s="195"/>
      <c r="G15" s="168" t="s">
        <v>276</v>
      </c>
      <c r="H15" s="168" t="s">
        <v>268</v>
      </c>
      <c r="I15" s="169"/>
      <c r="J15" s="168" t="s">
        <v>277</v>
      </c>
      <c r="K15" s="170" t="s">
        <v>278</v>
      </c>
      <c r="L15" s="168" t="s">
        <v>279</v>
      </c>
      <c r="M15" s="171"/>
      <c r="N15" s="172"/>
      <c r="O15" s="173"/>
      <c r="P15" s="173"/>
      <c r="Q15" s="174"/>
      <c r="R15" s="174"/>
      <c r="S15" s="174"/>
      <c r="T15" s="174"/>
      <c r="U15" s="175"/>
      <c r="V15" s="176"/>
      <c r="W15" s="174"/>
      <c r="X15" s="174"/>
      <c r="Y15" s="174"/>
      <c r="Z15" s="174"/>
      <c r="AA15" s="177"/>
      <c r="AB15" s="178"/>
      <c r="AC15" s="178"/>
      <c r="AD15" s="198"/>
      <c r="AE15" s="198" t="s">
        <v>280</v>
      </c>
      <c r="AF15" s="191"/>
      <c r="AG15" s="199" t="s">
        <v>281</v>
      </c>
      <c r="AH15" s="191"/>
      <c r="AI15" s="191"/>
      <c r="AJ15" s="191"/>
      <c r="AK15" s="191"/>
      <c r="AL15" s="191"/>
      <c r="AM15" s="191"/>
      <c r="AN15" s="196" t="s">
        <v>282</v>
      </c>
      <c r="AO15" s="197" t="s">
        <v>283</v>
      </c>
      <c r="AP15" s="200"/>
      <c r="AQ15" s="184" t="s">
        <v>284</v>
      </c>
      <c r="AR15" s="185" t="s">
        <v>285</v>
      </c>
      <c r="AS15" s="185"/>
      <c r="AT15" s="835"/>
    </row>
    <row r="16" spans="2:46" outlineLevel="1" thickBot="1">
      <c r="B16" s="201"/>
      <c r="C16" s="202"/>
      <c r="D16" s="202"/>
      <c r="E16" s="203" t="s">
        <v>286</v>
      </c>
      <c r="F16" s="203" t="s">
        <v>286</v>
      </c>
      <c r="G16" s="204" t="s">
        <v>287</v>
      </c>
      <c r="H16" s="204" t="s">
        <v>288</v>
      </c>
      <c r="I16" s="204" t="s">
        <v>289</v>
      </c>
      <c r="J16" s="204" t="s">
        <v>290</v>
      </c>
      <c r="K16" s="204" t="s">
        <v>291</v>
      </c>
      <c r="L16" s="204" t="s">
        <v>292</v>
      </c>
      <c r="M16" s="204" t="s">
        <v>293</v>
      </c>
      <c r="N16" s="204" t="s">
        <v>294</v>
      </c>
      <c r="O16" s="204" t="s">
        <v>295</v>
      </c>
      <c r="P16" s="204" t="s">
        <v>296</v>
      </c>
      <c r="Q16" s="204" t="s">
        <v>297</v>
      </c>
      <c r="R16" s="204" t="s">
        <v>298</v>
      </c>
      <c r="S16" s="204" t="s">
        <v>299</v>
      </c>
      <c r="T16" s="204" t="s">
        <v>300</v>
      </c>
      <c r="U16" s="204" t="s">
        <v>301</v>
      </c>
      <c r="V16" s="204" t="s">
        <v>302</v>
      </c>
      <c r="W16" s="204" t="s">
        <v>303</v>
      </c>
      <c r="X16" s="204" t="s">
        <v>304</v>
      </c>
      <c r="Y16" s="204" t="s">
        <v>305</v>
      </c>
      <c r="Z16" s="205" t="s">
        <v>306</v>
      </c>
      <c r="AA16" s="206" t="s">
        <v>286</v>
      </c>
      <c r="AB16" s="207" t="s">
        <v>286</v>
      </c>
      <c r="AC16" s="207"/>
      <c r="AD16" s="208" t="s">
        <v>286</v>
      </c>
      <c r="AE16" s="208" t="s">
        <v>286</v>
      </c>
      <c r="AF16" s="209" t="s">
        <v>286</v>
      </c>
      <c r="AG16" s="209" t="s">
        <v>286</v>
      </c>
      <c r="AH16" s="209" t="s">
        <v>286</v>
      </c>
      <c r="AI16" s="209"/>
      <c r="AJ16" s="209"/>
      <c r="AK16" s="209"/>
      <c r="AL16" s="209" t="s">
        <v>286</v>
      </c>
      <c r="AM16" s="209" t="s">
        <v>286</v>
      </c>
      <c r="AN16" s="210" t="s">
        <v>307</v>
      </c>
      <c r="AO16" s="211" t="s">
        <v>308</v>
      </c>
      <c r="AP16" s="212" t="s">
        <v>286</v>
      </c>
      <c r="AQ16" s="213"/>
      <c r="AR16" s="214" t="s">
        <v>309</v>
      </c>
      <c r="AS16" s="214"/>
      <c r="AT16" s="208" t="s">
        <v>286</v>
      </c>
    </row>
    <row r="17" spans="1:48" thickBot="1">
      <c r="B17" s="215">
        <v>1</v>
      </c>
      <c r="C17" s="216">
        <f>B17+1</f>
        <v>2</v>
      </c>
      <c r="D17" s="217">
        <f>C17+1</f>
        <v>3</v>
      </c>
      <c r="E17" s="218">
        <f>D17+1</f>
        <v>4</v>
      </c>
      <c r="F17" s="218">
        <v>5</v>
      </c>
      <c r="G17" s="217">
        <v>5</v>
      </c>
      <c r="H17" s="217">
        <v>5</v>
      </c>
      <c r="I17" s="217">
        <v>5</v>
      </c>
      <c r="J17" s="217">
        <v>5</v>
      </c>
      <c r="K17" s="217">
        <v>5</v>
      </c>
      <c r="L17" s="217">
        <v>5</v>
      </c>
      <c r="M17" s="217">
        <v>5</v>
      </c>
      <c r="N17" s="217">
        <v>5</v>
      </c>
      <c r="O17" s="217">
        <v>5</v>
      </c>
      <c r="P17" s="217">
        <v>5</v>
      </c>
      <c r="Q17" s="217">
        <v>5</v>
      </c>
      <c r="R17" s="217">
        <v>5</v>
      </c>
      <c r="S17" s="217">
        <v>5</v>
      </c>
      <c r="T17" s="217">
        <v>5</v>
      </c>
      <c r="U17" s="217">
        <v>5</v>
      </c>
      <c r="V17" s="217">
        <v>5</v>
      </c>
      <c r="W17" s="217">
        <v>5</v>
      </c>
      <c r="X17" s="217">
        <v>5</v>
      </c>
      <c r="Y17" s="217">
        <v>5</v>
      </c>
      <c r="Z17" s="219">
        <v>5</v>
      </c>
      <c r="AA17" s="220">
        <v>6</v>
      </c>
      <c r="AB17" s="221">
        <f>AA17+1</f>
        <v>7</v>
      </c>
      <c r="AC17" s="221"/>
      <c r="AD17" s="222">
        <v>2</v>
      </c>
      <c r="AE17" s="223">
        <f>AD17+1</f>
        <v>3</v>
      </c>
      <c r="AF17" s="224">
        <v>4</v>
      </c>
      <c r="AG17" s="225">
        <v>5</v>
      </c>
      <c r="AH17" s="224">
        <f>AG17+1</f>
        <v>6</v>
      </c>
      <c r="AI17" s="224"/>
      <c r="AJ17" s="224"/>
      <c r="AK17" s="224"/>
      <c r="AL17" s="226">
        <v>6</v>
      </c>
      <c r="AM17" s="224">
        <f t="shared" ref="AM17:AR17" si="0">AL17+1</f>
        <v>7</v>
      </c>
      <c r="AN17" s="227">
        <f t="shared" si="0"/>
        <v>8</v>
      </c>
      <c r="AO17" s="227">
        <f t="shared" si="0"/>
        <v>9</v>
      </c>
      <c r="AP17" s="227">
        <f t="shared" si="0"/>
        <v>10</v>
      </c>
      <c r="AQ17" s="227">
        <f t="shared" si="0"/>
        <v>11</v>
      </c>
      <c r="AR17" s="227">
        <f t="shared" si="0"/>
        <v>12</v>
      </c>
      <c r="AS17" s="227">
        <v>7</v>
      </c>
      <c r="AT17" s="222">
        <v>8</v>
      </c>
    </row>
    <row r="18" spans="1:48" thickBot="1">
      <c r="B18" s="228" t="s">
        <v>310</v>
      </c>
      <c r="C18" s="229"/>
      <c r="D18" s="230"/>
      <c r="E18" s="230"/>
      <c r="F18" s="230"/>
      <c r="G18" s="230"/>
      <c r="H18" s="230"/>
      <c r="I18" s="230"/>
      <c r="J18" s="230"/>
      <c r="K18" s="231"/>
      <c r="L18" s="232"/>
      <c r="M18" s="231"/>
      <c r="N18" s="233"/>
      <c r="O18" s="234"/>
      <c r="P18" s="234"/>
      <c r="Q18" s="235"/>
      <c r="R18" s="235"/>
      <c r="S18" s="235"/>
      <c r="T18" s="235"/>
      <c r="U18" s="235" t="s">
        <v>311</v>
      </c>
      <c r="V18" s="236"/>
      <c r="W18" s="235" t="s">
        <v>312</v>
      </c>
      <c r="X18" s="235" t="s">
        <v>313</v>
      </c>
      <c r="Y18" s="235" t="s">
        <v>314</v>
      </c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7"/>
      <c r="AM18" s="237"/>
      <c r="AN18" s="237"/>
      <c r="AO18" s="237"/>
      <c r="AP18" s="235"/>
      <c r="AQ18" s="235"/>
      <c r="AR18" s="238"/>
      <c r="AS18" s="238"/>
      <c r="AT18" s="238"/>
    </row>
    <row r="19" spans="1:48" ht="15" customHeight="1">
      <c r="A19" s="239">
        <v>101</v>
      </c>
      <c r="B19" s="240" t="s">
        <v>315</v>
      </c>
      <c r="C19" s="241">
        <v>9</v>
      </c>
      <c r="D19" s="242">
        <v>3</v>
      </c>
      <c r="E19" s="242">
        <v>794</v>
      </c>
      <c r="F19" s="242">
        <v>1100</v>
      </c>
      <c r="G19" s="243">
        <f>E19*0.300304</f>
        <v>238.44137600000002</v>
      </c>
      <c r="H19" s="243">
        <f>F19*0.124048</f>
        <v>136.4528</v>
      </c>
      <c r="I19" s="243">
        <f>40.2*D19</f>
        <v>120.60000000000001</v>
      </c>
      <c r="J19" s="243">
        <f>1.95*D19</f>
        <v>5.85</v>
      </c>
      <c r="K19" s="242"/>
      <c r="L19" s="244">
        <f>G19+H19+I19+J19+K19</f>
        <v>501.34417600000006</v>
      </c>
      <c r="M19" s="245">
        <f>E25</f>
        <v>0</v>
      </c>
      <c r="N19" s="246"/>
      <c r="O19" s="234"/>
      <c r="P19" s="234"/>
      <c r="Q19" s="246"/>
      <c r="R19" s="246"/>
      <c r="S19" s="246"/>
      <c r="T19" s="246"/>
      <c r="U19" s="247"/>
      <c r="V19" s="248"/>
      <c r="W19" s="246"/>
      <c r="X19" s="246"/>
      <c r="Y19" s="246"/>
      <c r="Z19" s="246"/>
      <c r="AA19" s="249">
        <v>2597.0500000000002</v>
      </c>
      <c r="AB19" s="250">
        <v>1040</v>
      </c>
      <c r="AC19" s="251"/>
      <c r="AD19" s="556">
        <f>10+0.8+80</f>
        <v>90.8</v>
      </c>
      <c r="AE19" s="556">
        <f>4.5+4.5*3+0.5*3*3</f>
        <v>22.5</v>
      </c>
      <c r="AF19" s="557">
        <f>3.5*(23+38+11*14.5)</f>
        <v>771.75</v>
      </c>
      <c r="AG19" s="557"/>
      <c r="AH19" s="118">
        <f>10*4.5+7*6.5+6.5*22.5*2</f>
        <v>383</v>
      </c>
      <c r="AI19" s="118"/>
      <c r="AJ19" s="118"/>
      <c r="AK19" s="118"/>
      <c r="AL19" s="557"/>
      <c r="AM19" s="116">
        <f>AA19-AB19-AD19-AE19-AF19-AH19</f>
        <v>289.00000000000023</v>
      </c>
      <c r="AN19" s="252">
        <f t="shared" ref="AN19:AN24" si="1">AA19-AB19</f>
        <v>1557.0500000000002</v>
      </c>
      <c r="AO19" s="253">
        <f t="shared" ref="AO19:AO50" si="2">AD19+AE19+AF19+AG19+AH19+AL19+AM19</f>
        <v>1557.0500000000002</v>
      </c>
      <c r="AP19" s="254">
        <f t="shared" ref="AP19:AP24" si="3">(AM19+AL19+AH19)*0.3+(AG19+AF19+AE19+AD19)*0.6</f>
        <v>732.63</v>
      </c>
      <c r="AQ19" s="246">
        <f>F19-AP19</f>
        <v>367.37</v>
      </c>
      <c r="AR19" s="255">
        <f>AP19*0.138562</f>
        <v>101.51467805999999</v>
      </c>
      <c r="AS19" s="556">
        <f>AM19+AH19</f>
        <v>672.00000000000023</v>
      </c>
      <c r="AT19" s="256">
        <f>AD19+AE19+AF19+AS19+AG19+AL19</f>
        <v>1557.0500000000002</v>
      </c>
      <c r="AU19" s="132">
        <f t="shared" ref="AU19:AU82" si="4">(AD19+AE19+AF19+AG19)*0.6+(AH19+AM19+AL19)*0.3</f>
        <v>732.63</v>
      </c>
      <c r="AV19" s="257" t="s">
        <v>57</v>
      </c>
    </row>
    <row r="20" spans="1:48" ht="15" customHeight="1">
      <c r="A20" s="239">
        <v>60</v>
      </c>
      <c r="B20" s="240" t="s">
        <v>316</v>
      </c>
      <c r="C20" s="258">
        <v>5</v>
      </c>
      <c r="D20" s="259">
        <v>4</v>
      </c>
      <c r="E20" s="260">
        <v>266</v>
      </c>
      <c r="F20" s="260">
        <v>1806</v>
      </c>
      <c r="G20" s="261">
        <f>E20*0.300304</f>
        <v>79.880864000000003</v>
      </c>
      <c r="H20" s="261">
        <f>F20*0.124048</f>
        <v>224.030688</v>
      </c>
      <c r="I20" s="259"/>
      <c r="J20" s="259"/>
      <c r="K20" s="259"/>
      <c r="L20" s="262">
        <f>SUM(G20:K20)</f>
        <v>303.91155200000003</v>
      </c>
      <c r="M20" s="263">
        <f>E27</f>
        <v>269</v>
      </c>
      <c r="N20" s="264"/>
      <c r="O20" s="173"/>
      <c r="P20" s="173"/>
      <c r="Q20" s="265"/>
      <c r="R20" s="264"/>
      <c r="S20" s="264"/>
      <c r="T20" s="264"/>
      <c r="U20" s="265"/>
      <c r="V20" s="266"/>
      <c r="W20" s="264"/>
      <c r="X20" s="264"/>
      <c r="Y20" s="264"/>
      <c r="Z20" s="264"/>
      <c r="AA20" s="115"/>
      <c r="AB20" s="267"/>
      <c r="AC20" s="267"/>
      <c r="AD20" s="556">
        <f>(57+13)*2</f>
        <v>140</v>
      </c>
      <c r="AE20" s="556">
        <f>3.5*3*4</f>
        <v>42</v>
      </c>
      <c r="AF20" s="557">
        <f>4*78+11*8</f>
        <v>400</v>
      </c>
      <c r="AG20" s="557"/>
      <c r="AH20" s="116">
        <f>8*4+10*4*3+10*4</f>
        <v>192</v>
      </c>
      <c r="AI20" s="116"/>
      <c r="AJ20" s="116"/>
      <c r="AK20" s="116"/>
      <c r="AL20" s="557"/>
      <c r="AM20" s="116">
        <f>78*24/2+16*38+36*57-11*8</f>
        <v>3508</v>
      </c>
      <c r="AN20" s="268">
        <f t="shared" si="1"/>
        <v>0</v>
      </c>
      <c r="AO20" s="269">
        <f t="shared" si="2"/>
        <v>4282</v>
      </c>
      <c r="AP20" s="270">
        <f t="shared" si="3"/>
        <v>1459.2</v>
      </c>
      <c r="AQ20" s="264">
        <f>F20-AP20</f>
        <v>346.79999999999995</v>
      </c>
      <c r="AR20" s="264"/>
      <c r="AS20" s="556">
        <f>AM20+AH20</f>
        <v>3700</v>
      </c>
      <c r="AT20" s="256">
        <f>AD20+AE20+AF20+AS20+AG20+AL20</f>
        <v>4282</v>
      </c>
      <c r="AU20" s="132">
        <f t="shared" si="4"/>
        <v>1459.2</v>
      </c>
      <c r="AV20" s="257" t="s">
        <v>67</v>
      </c>
    </row>
    <row r="21" spans="1:48" ht="15" customHeight="1">
      <c r="A21" s="239">
        <v>60</v>
      </c>
      <c r="B21" s="240" t="s">
        <v>317</v>
      </c>
      <c r="C21" s="258">
        <v>5</v>
      </c>
      <c r="D21" s="259">
        <v>4</v>
      </c>
      <c r="E21" s="259">
        <v>270</v>
      </c>
      <c r="F21" s="259">
        <v>2482</v>
      </c>
      <c r="G21" s="261">
        <f>E21*0.300304</f>
        <v>81.082080000000005</v>
      </c>
      <c r="H21" s="261">
        <f>F21*0.124048</f>
        <v>307.887136</v>
      </c>
      <c r="I21" s="259"/>
      <c r="J21" s="259"/>
      <c r="K21" s="259"/>
      <c r="L21" s="262">
        <f>SUM(G21:K21)</f>
        <v>388.96921600000002</v>
      </c>
      <c r="M21" s="263">
        <f>E28</f>
        <v>292</v>
      </c>
      <c r="N21" s="173">
        <f>E28/C28</f>
        <v>58.4</v>
      </c>
      <c r="O21" s="173">
        <f>N21*3</f>
        <v>175.2</v>
      </c>
      <c r="P21" s="173">
        <f>E28-O21</f>
        <v>116.80000000000001</v>
      </c>
      <c r="Q21" s="264"/>
      <c r="R21" s="264"/>
      <c r="S21" s="264"/>
      <c r="T21" s="264"/>
      <c r="U21" s="265">
        <f>1.0542*L28</f>
        <v>327.56847930240002</v>
      </c>
      <c r="V21" s="266"/>
      <c r="W21" s="264"/>
      <c r="X21" s="264"/>
      <c r="Y21" s="264"/>
      <c r="Z21" s="264"/>
      <c r="AA21" s="115"/>
      <c r="AB21" s="267"/>
      <c r="AC21" s="267"/>
      <c r="AD21" s="556">
        <f>(57+13)*2</f>
        <v>140</v>
      </c>
      <c r="AE21" s="556">
        <f>3.5*3*4</f>
        <v>42</v>
      </c>
      <c r="AF21" s="557">
        <f>2*56+15*2*11/2+6*24+4*54+12*16</f>
        <v>829</v>
      </c>
      <c r="AG21" s="557"/>
      <c r="AH21" s="118">
        <f>6*3+4*11*2+4.7+3*6</f>
        <v>128.69999999999999</v>
      </c>
      <c r="AI21" s="118"/>
      <c r="AJ21" s="118"/>
      <c r="AK21" s="118"/>
      <c r="AL21" s="557"/>
      <c r="AM21" s="116">
        <f>26*24-12*16+24*28/2+66*19/2+50*22+8*12+40*10</f>
        <v>2991</v>
      </c>
      <c r="AN21" s="268">
        <f t="shared" si="1"/>
        <v>0</v>
      </c>
      <c r="AO21" s="269">
        <f t="shared" si="2"/>
        <v>4130.7</v>
      </c>
      <c r="AP21" s="270">
        <f t="shared" si="3"/>
        <v>1542.5099999999998</v>
      </c>
      <c r="AQ21" s="264">
        <f>F21-AP21</f>
        <v>939.49000000000024</v>
      </c>
      <c r="AR21" s="271">
        <f>AP21*0.138562</f>
        <v>213.73327061999996</v>
      </c>
      <c r="AS21" s="556">
        <f>AM21+AH21</f>
        <v>3119.7</v>
      </c>
      <c r="AT21" s="256">
        <f>AD21+AE21+AF21+AS21+AG21+AL21</f>
        <v>4130.7</v>
      </c>
      <c r="AU21" s="132">
        <f t="shared" si="4"/>
        <v>1542.5099999999998</v>
      </c>
      <c r="AV21" s="257" t="s">
        <v>60</v>
      </c>
    </row>
    <row r="22" spans="1:48" ht="15" customHeight="1">
      <c r="A22" s="239">
        <v>60</v>
      </c>
      <c r="B22" s="240" t="s">
        <v>318</v>
      </c>
      <c r="C22" s="272">
        <v>5</v>
      </c>
      <c r="D22" s="260">
        <v>8</v>
      </c>
      <c r="E22" s="260">
        <v>639</v>
      </c>
      <c r="F22" s="260">
        <v>2419</v>
      </c>
      <c r="G22" s="261">
        <f>E22*0.300304</f>
        <v>191.89425600000001</v>
      </c>
      <c r="H22" s="261">
        <f>F22*0.124048</f>
        <v>300.072112</v>
      </c>
      <c r="I22" s="261">
        <f>40.2*D22</f>
        <v>321.60000000000002</v>
      </c>
      <c r="J22" s="273"/>
      <c r="K22" s="274"/>
      <c r="L22" s="262">
        <f>G22+H22+I22+J22+K22</f>
        <v>813.56636800000001</v>
      </c>
      <c r="M22" s="263"/>
      <c r="N22" s="264"/>
      <c r="O22" s="173"/>
      <c r="P22" s="173"/>
      <c r="Q22" s="264"/>
      <c r="R22" s="264"/>
      <c r="S22" s="271">
        <f>T22-L28</f>
        <v>31.072707200000025</v>
      </c>
      <c r="T22" s="271">
        <f>L28*1.1</f>
        <v>341.79977920000005</v>
      </c>
      <c r="U22" s="265">
        <f>878.94+1471.42</f>
        <v>2350.36</v>
      </c>
      <c r="V22" s="266">
        <f>U22/L28</f>
        <v>7.5640657406252645</v>
      </c>
      <c r="W22" s="264"/>
      <c r="X22" s="264"/>
      <c r="Y22" s="264"/>
      <c r="Z22" s="264"/>
      <c r="AA22" s="115"/>
      <c r="AB22" s="267"/>
      <c r="AC22" s="267"/>
      <c r="AD22" s="556">
        <f>(78+12+47)*2+5</f>
        <v>279</v>
      </c>
      <c r="AE22" s="556">
        <f>4*12*3+4*6*5</f>
        <v>264</v>
      </c>
      <c r="AF22" s="557">
        <f>5*130+10*5+11+2+2.5*10+14+10*36+36</f>
        <v>1148</v>
      </c>
      <c r="AG22" s="557"/>
      <c r="AH22" s="116">
        <f>7*13+12*13+12*7*8</f>
        <v>919</v>
      </c>
      <c r="AI22" s="116"/>
      <c r="AJ22" s="116"/>
      <c r="AK22" s="116"/>
      <c r="AL22" s="557"/>
      <c r="AM22" s="116">
        <f>16*130-10*5-11*2+130*10-14-10*36+36</f>
        <v>2970</v>
      </c>
      <c r="AN22" s="268">
        <f t="shared" si="1"/>
        <v>0</v>
      </c>
      <c r="AO22" s="269">
        <f t="shared" si="2"/>
        <v>5580</v>
      </c>
      <c r="AP22" s="270">
        <f t="shared" si="3"/>
        <v>2181.3000000000002</v>
      </c>
      <c r="AQ22" s="264">
        <f>F22-AP22</f>
        <v>237.69999999999982</v>
      </c>
      <c r="AR22" s="264"/>
      <c r="AS22" s="556">
        <f>AM22+AH22</f>
        <v>3889</v>
      </c>
      <c r="AT22" s="256">
        <f>AD22+AE22+AF22+AS22+AG22+AL22</f>
        <v>5580</v>
      </c>
      <c r="AU22" s="132">
        <f t="shared" si="4"/>
        <v>2181.3000000000002</v>
      </c>
      <c r="AV22" s="257" t="s">
        <v>61</v>
      </c>
    </row>
    <row r="23" spans="1:48" ht="15" customHeight="1">
      <c r="A23" s="239">
        <v>60</v>
      </c>
      <c r="B23" s="240" t="s">
        <v>319</v>
      </c>
      <c r="C23" s="272">
        <v>5</v>
      </c>
      <c r="D23" s="260">
        <v>4</v>
      </c>
      <c r="E23" s="260">
        <v>274</v>
      </c>
      <c r="F23" s="260">
        <v>2844</v>
      </c>
      <c r="G23" s="261">
        <f>E23*0.300304</f>
        <v>82.283296000000007</v>
      </c>
      <c r="H23" s="261">
        <f>F23*0.124048</f>
        <v>352.79251199999999</v>
      </c>
      <c r="I23" s="273"/>
      <c r="J23" s="273"/>
      <c r="K23" s="274"/>
      <c r="L23" s="262">
        <f>G23+H23+I23+J23+K23</f>
        <v>435.07580799999999</v>
      </c>
      <c r="M23" s="263">
        <f>E29</f>
        <v>2492</v>
      </c>
      <c r="N23" s="264"/>
      <c r="O23" s="173"/>
      <c r="P23" s="173"/>
      <c r="Q23" s="264"/>
      <c r="R23" s="264"/>
      <c r="S23" s="264"/>
      <c r="T23" s="264"/>
      <c r="U23" s="265"/>
      <c r="V23" s="266"/>
      <c r="W23" s="264"/>
      <c r="X23" s="264"/>
      <c r="Y23" s="264"/>
      <c r="Z23" s="264"/>
      <c r="AA23" s="115"/>
      <c r="AB23" s="267"/>
      <c r="AC23" s="267"/>
      <c r="AD23" s="556">
        <f>(57+13)*2</f>
        <v>140</v>
      </c>
      <c r="AE23" s="556">
        <f>3.5*3*4</f>
        <v>42</v>
      </c>
      <c r="AF23" s="557">
        <f>4*56+14*2</f>
        <v>252</v>
      </c>
      <c r="AG23" s="557"/>
      <c r="AH23" s="118">
        <f>7*4+10*4*3+10*4</f>
        <v>188</v>
      </c>
      <c r="AI23" s="118"/>
      <c r="AJ23" s="118"/>
      <c r="AK23" s="118"/>
      <c r="AL23" s="557"/>
      <c r="AM23" s="116">
        <f>22*2*57+3*12+23*2*56/2</f>
        <v>3832</v>
      </c>
      <c r="AN23" s="268">
        <f t="shared" si="1"/>
        <v>0</v>
      </c>
      <c r="AO23" s="269">
        <f t="shared" si="2"/>
        <v>4454</v>
      </c>
      <c r="AP23" s="270">
        <f t="shared" si="3"/>
        <v>1466.4</v>
      </c>
      <c r="AQ23" s="264">
        <f>F23-AP23</f>
        <v>1377.6</v>
      </c>
      <c r="AR23" s="264"/>
      <c r="AS23" s="556">
        <f>AM23+AH23</f>
        <v>4020</v>
      </c>
      <c r="AT23" s="256">
        <f>AD23+AE23+AF23+AS23+AG23+AL23</f>
        <v>4454</v>
      </c>
      <c r="AU23" s="132">
        <f t="shared" si="4"/>
        <v>1466.4</v>
      </c>
      <c r="AV23" s="257" t="s">
        <v>62</v>
      </c>
    </row>
    <row r="24" spans="1:48" s="134" customFormat="1" ht="13.5" customHeight="1" thickBot="1">
      <c r="A24" s="135"/>
      <c r="B24" s="275" t="s">
        <v>320</v>
      </c>
      <c r="C24" s="276"/>
      <c r="D24" s="276"/>
      <c r="E24" s="276">
        <f t="shared" ref="E24:L24" si="5">SUM(E19:E23)</f>
        <v>2243</v>
      </c>
      <c r="F24" s="276">
        <f t="shared" si="5"/>
        <v>10651</v>
      </c>
      <c r="G24" s="277">
        <f t="shared" si="5"/>
        <v>673.58187199999998</v>
      </c>
      <c r="H24" s="277">
        <f t="shared" si="5"/>
        <v>1321.235248</v>
      </c>
      <c r="I24" s="277">
        <f t="shared" si="5"/>
        <v>442.20000000000005</v>
      </c>
      <c r="J24" s="277">
        <f t="shared" si="5"/>
        <v>5.85</v>
      </c>
      <c r="K24" s="276">
        <f t="shared" si="5"/>
        <v>0</v>
      </c>
      <c r="L24" s="278">
        <f t="shared" si="5"/>
        <v>2442.8671199999999</v>
      </c>
      <c r="M24" s="279"/>
      <c r="N24" s="280"/>
      <c r="O24" s="281"/>
      <c r="P24" s="281"/>
      <c r="Q24" s="282"/>
      <c r="R24" s="282"/>
      <c r="S24" s="282">
        <f>T24-L24</f>
        <v>244.28671200000008</v>
      </c>
      <c r="T24" s="282">
        <f>L24*1.1</f>
        <v>2687.153832</v>
      </c>
      <c r="U24" s="283">
        <v>1429</v>
      </c>
      <c r="V24" s="284">
        <f>U24/L24</f>
        <v>0.58496837109993938</v>
      </c>
      <c r="W24" s="282"/>
      <c r="X24" s="282"/>
      <c r="Y24" s="282"/>
      <c r="Z24" s="282"/>
      <c r="AA24" s="285"/>
      <c r="AB24" s="285"/>
      <c r="AC24" s="286"/>
      <c r="AD24" s="287"/>
      <c r="AE24" s="287"/>
      <c r="AF24" s="287"/>
      <c r="AG24" s="287"/>
      <c r="AH24" s="287"/>
      <c r="AI24" s="287"/>
      <c r="AJ24" s="287"/>
      <c r="AK24" s="287"/>
      <c r="AL24" s="288"/>
      <c r="AM24" s="289">
        <f>AA24-AB24-AD24-AE24-AF24-AH24</f>
        <v>0</v>
      </c>
      <c r="AN24" s="290">
        <f t="shared" si="1"/>
        <v>0</v>
      </c>
      <c r="AO24" s="290">
        <f t="shared" si="2"/>
        <v>0</v>
      </c>
      <c r="AP24" s="291">
        <f t="shared" si="3"/>
        <v>0</v>
      </c>
      <c r="AQ24" s="292"/>
      <c r="AR24" s="282"/>
      <c r="AS24" s="282"/>
      <c r="AT24" s="293">
        <f>AD24+AE24+AF24+AH24+AM24</f>
        <v>0</v>
      </c>
      <c r="AU24" s="132">
        <f t="shared" si="4"/>
        <v>0</v>
      </c>
      <c r="AV24" s="257"/>
    </row>
    <row r="25" spans="1:48" s="134" customFormat="1" ht="15">
      <c r="A25" s="135"/>
      <c r="B25" s="294" t="s">
        <v>321</v>
      </c>
      <c r="C25" s="295"/>
      <c r="D25" s="296"/>
      <c r="E25" s="296"/>
      <c r="F25" s="296"/>
      <c r="G25" s="296"/>
      <c r="H25" s="296"/>
      <c r="I25" s="296"/>
      <c r="J25" s="296"/>
      <c r="K25" s="171"/>
      <c r="L25" s="297"/>
      <c r="M25" s="263"/>
      <c r="N25" s="172"/>
      <c r="O25" s="173"/>
      <c r="P25" s="173"/>
      <c r="Q25" s="271"/>
      <c r="R25" s="271"/>
      <c r="S25" s="271"/>
      <c r="T25" s="271"/>
      <c r="U25" s="265"/>
      <c r="V25" s="266"/>
      <c r="W25" s="271"/>
      <c r="X25" s="271"/>
      <c r="Y25" s="271"/>
      <c r="Z25" s="271"/>
      <c r="AA25" s="271"/>
      <c r="AB25" s="271"/>
      <c r="AC25" s="271"/>
      <c r="AD25" s="172"/>
      <c r="AE25" s="172"/>
      <c r="AF25" s="172"/>
      <c r="AG25" s="172"/>
      <c r="AH25" s="172"/>
      <c r="AI25" s="172"/>
      <c r="AJ25" s="172"/>
      <c r="AK25" s="172"/>
      <c r="AL25" s="298"/>
      <c r="AM25" s="299"/>
      <c r="AN25" s="299"/>
      <c r="AO25" s="300">
        <f t="shared" si="2"/>
        <v>0</v>
      </c>
      <c r="AP25" s="301"/>
      <c r="AQ25" s="264"/>
      <c r="AR25" s="271"/>
      <c r="AS25" s="271"/>
      <c r="AT25" s="302">
        <f>AD25+AE25+AF25+AH25+AM25</f>
        <v>0</v>
      </c>
      <c r="AU25" s="132">
        <f t="shared" si="4"/>
        <v>0</v>
      </c>
      <c r="AV25" s="257"/>
    </row>
    <row r="26" spans="1:48" s="134" customFormat="1" ht="15" customHeight="1">
      <c r="A26" s="239">
        <v>60</v>
      </c>
      <c r="B26" s="240" t="s">
        <v>322</v>
      </c>
      <c r="C26" s="258">
        <v>5</v>
      </c>
      <c r="D26" s="259">
        <v>4</v>
      </c>
      <c r="E26" s="259">
        <v>276</v>
      </c>
      <c r="F26" s="259">
        <v>2844</v>
      </c>
      <c r="G26" s="261">
        <f>E26*0.300304</f>
        <v>82.883904000000001</v>
      </c>
      <c r="H26" s="261">
        <f>F26*0.124048</f>
        <v>352.79251199999999</v>
      </c>
      <c r="I26" s="259"/>
      <c r="J26" s="259"/>
      <c r="K26" s="259"/>
      <c r="L26" s="262">
        <f>SUM(G26:K26)</f>
        <v>435.67641600000002</v>
      </c>
      <c r="M26" s="263"/>
      <c r="N26" s="264"/>
      <c r="O26" s="173"/>
      <c r="P26" s="173"/>
      <c r="Q26" s="264"/>
      <c r="R26" s="264"/>
      <c r="S26" s="271">
        <f>T26-L33</f>
        <v>37.762195200000008</v>
      </c>
      <c r="T26" s="271">
        <f>L33*1.1</f>
        <v>415.38414719999997</v>
      </c>
      <c r="U26" s="265">
        <v>1345.36</v>
      </c>
      <c r="V26" s="266">
        <f>U26/L33</f>
        <v>3.5627166081700676</v>
      </c>
      <c r="W26" s="264"/>
      <c r="X26" s="264"/>
      <c r="Y26" s="264"/>
      <c r="Z26" s="264"/>
      <c r="AA26" s="115"/>
      <c r="AB26" s="267"/>
      <c r="AC26" s="267"/>
      <c r="AD26" s="556">
        <f>(57+13)*2</f>
        <v>140</v>
      </c>
      <c r="AE26" s="556">
        <f>3.5*3*4</f>
        <v>42</v>
      </c>
      <c r="AF26" s="557">
        <f>14*2+1.5*28+64*4+26*9/2</f>
        <v>443</v>
      </c>
      <c r="AG26" s="557"/>
      <c r="AH26" s="116">
        <f>7*4+10*4*3+10*4</f>
        <v>188</v>
      </c>
      <c r="AI26" s="116"/>
      <c r="AJ26" s="116"/>
      <c r="AK26" s="116"/>
      <c r="AL26" s="557"/>
      <c r="AM26" s="116">
        <f>14*2*12/2+30*56-1.5*28+16*8/2+11*32+40*10+23*2*56/2+300*10</f>
        <v>6910</v>
      </c>
      <c r="AN26" s="268">
        <f t="shared" ref="AN26:AN89" si="6">AA26-AB26</f>
        <v>0</v>
      </c>
      <c r="AO26" s="269">
        <f t="shared" si="2"/>
        <v>7723</v>
      </c>
      <c r="AP26" s="270">
        <f t="shared" ref="AP26:AP41" si="7">(AM26+AL26+AH26)*0.3+(AG26+AF26+AE26+AD26)*0.6</f>
        <v>2504.4</v>
      </c>
      <c r="AQ26" s="115">
        <f>F26-AP26</f>
        <v>339.59999999999991</v>
      </c>
      <c r="AR26" s="303">
        <f>AP26*0.138562</f>
        <v>347.01467279999997</v>
      </c>
      <c r="AS26" s="556">
        <f>AM26+AH26</f>
        <v>7098</v>
      </c>
      <c r="AT26" s="256">
        <f>AD26+AE26+AF26+AS26+AG26+AL26</f>
        <v>7723</v>
      </c>
      <c r="AU26" s="132">
        <f t="shared" si="4"/>
        <v>2504.4</v>
      </c>
      <c r="AV26" s="257" t="s">
        <v>63</v>
      </c>
    </row>
    <row r="27" spans="1:48" s="134" customFormat="1" ht="15" customHeight="1">
      <c r="A27" s="239">
        <v>60</v>
      </c>
      <c r="B27" s="240" t="s">
        <v>323</v>
      </c>
      <c r="C27" s="258">
        <v>5</v>
      </c>
      <c r="D27" s="259">
        <v>4</v>
      </c>
      <c r="E27" s="260">
        <v>269</v>
      </c>
      <c r="F27" s="260">
        <v>2208</v>
      </c>
      <c r="G27" s="261">
        <f>E27*0.300304</f>
        <v>80.781776000000008</v>
      </c>
      <c r="H27" s="261">
        <f>F27*0.124048</f>
        <v>273.89798400000001</v>
      </c>
      <c r="I27" s="259"/>
      <c r="J27" s="259"/>
      <c r="K27" s="259"/>
      <c r="L27" s="262">
        <f>SUM(G27:K27)</f>
        <v>354.67975999999999</v>
      </c>
      <c r="M27" s="263">
        <f>E34</f>
        <v>2492</v>
      </c>
      <c r="N27" s="173" t="e">
        <f>E34/C34</f>
        <v>#DIV/0!</v>
      </c>
      <c r="O27" s="173" t="e">
        <f>N27*3</f>
        <v>#DIV/0!</v>
      </c>
      <c r="P27" s="173" t="e">
        <f>E34-O27</f>
        <v>#DIV/0!</v>
      </c>
      <c r="Q27" s="264"/>
      <c r="R27" s="264"/>
      <c r="S27" s="264"/>
      <c r="T27" s="264"/>
      <c r="U27" s="265">
        <f>1.0476*L34</f>
        <v>1033.2820233792002</v>
      </c>
      <c r="V27" s="266"/>
      <c r="W27" s="264"/>
      <c r="X27" s="264"/>
      <c r="Y27" s="264"/>
      <c r="Z27" s="264"/>
      <c r="AA27" s="115"/>
      <c r="AB27" s="267"/>
      <c r="AC27" s="267"/>
      <c r="AD27" s="556">
        <f>(57+13)*2</f>
        <v>140</v>
      </c>
      <c r="AE27" s="556">
        <f>3.5*3*4</f>
        <v>42</v>
      </c>
      <c r="AF27" s="557">
        <f>4*68+16*2+10*4+4*57</f>
        <v>572</v>
      </c>
      <c r="AG27" s="557"/>
      <c r="AH27" s="118">
        <f>8*4+10*4*3+10*4</f>
        <v>192</v>
      </c>
      <c r="AI27" s="118"/>
      <c r="AJ27" s="118"/>
      <c r="AK27" s="118"/>
      <c r="AL27" s="557"/>
      <c r="AM27" s="116">
        <f>24*26*2/2+28*2*39*2+16*10+22*24/2+16*14*2/2-300*10</f>
        <v>2640</v>
      </c>
      <c r="AN27" s="268">
        <f t="shared" si="6"/>
        <v>0</v>
      </c>
      <c r="AO27" s="269">
        <f t="shared" si="2"/>
        <v>3586</v>
      </c>
      <c r="AP27" s="270">
        <f t="shared" si="7"/>
        <v>1302</v>
      </c>
      <c r="AQ27" s="115">
        <f>F27-AP27</f>
        <v>906</v>
      </c>
      <c r="AR27" s="267"/>
      <c r="AS27" s="556">
        <f>AM27+AH27</f>
        <v>2832</v>
      </c>
      <c r="AT27" s="256">
        <f>AD27+AE27+AF27+AS27+AG27+AL27</f>
        <v>3586</v>
      </c>
      <c r="AU27" s="132">
        <f t="shared" si="4"/>
        <v>1302</v>
      </c>
      <c r="AV27" s="257" t="s">
        <v>64</v>
      </c>
    </row>
    <row r="28" spans="1:48" s="239" customFormat="1" ht="15" customHeight="1">
      <c r="A28" s="239">
        <v>60</v>
      </c>
      <c r="B28" s="240" t="s">
        <v>324</v>
      </c>
      <c r="C28" s="258">
        <v>5</v>
      </c>
      <c r="D28" s="259">
        <v>4</v>
      </c>
      <c r="E28" s="260">
        <v>292</v>
      </c>
      <c r="F28" s="260">
        <v>1798</v>
      </c>
      <c r="G28" s="261">
        <f>E28*0.300304</f>
        <v>87.68876800000001</v>
      </c>
      <c r="H28" s="261">
        <f>F28*0.124048</f>
        <v>223.03830400000001</v>
      </c>
      <c r="I28" s="259"/>
      <c r="J28" s="259"/>
      <c r="K28" s="259"/>
      <c r="L28" s="262">
        <f>SUM(G28:K28)</f>
        <v>310.72707200000002</v>
      </c>
      <c r="M28" s="263">
        <f>E35</f>
        <v>0</v>
      </c>
      <c r="N28" s="173" t="e">
        <f>E35/C35</f>
        <v>#DIV/0!</v>
      </c>
      <c r="O28" s="173" t="e">
        <f>N28*3</f>
        <v>#DIV/0!</v>
      </c>
      <c r="P28" s="173" t="e">
        <f>E35-O28</f>
        <v>#DIV/0!</v>
      </c>
      <c r="Q28" s="264"/>
      <c r="R28" s="264"/>
      <c r="S28" s="264"/>
      <c r="T28" s="264"/>
      <c r="U28" s="265">
        <f>1.0476*L35</f>
        <v>0</v>
      </c>
      <c r="V28" s="266"/>
      <c r="W28" s="264"/>
      <c r="X28" s="264"/>
      <c r="Y28" s="264"/>
      <c r="Z28" s="264"/>
      <c r="AA28" s="115"/>
      <c r="AB28" s="267"/>
      <c r="AC28" s="267"/>
      <c r="AD28" s="556">
        <f>(57+13)*2</f>
        <v>140</v>
      </c>
      <c r="AE28" s="556">
        <f>3.5*3*4</f>
        <v>42</v>
      </c>
      <c r="AF28" s="557">
        <f>4*61+16*2+10*4+4*57+3*30/2+26*9</f>
        <v>823</v>
      </c>
      <c r="AG28" s="557"/>
      <c r="AH28" s="118">
        <f>8*4+10*4*3+10*4</f>
        <v>192</v>
      </c>
      <c r="AI28" s="118"/>
      <c r="AJ28" s="118"/>
      <c r="AK28" s="118"/>
      <c r="AL28" s="557"/>
      <c r="AM28" s="116">
        <f>12*2*36/2+4*26+18*2*57+16*6*4/2</f>
        <v>2780</v>
      </c>
      <c r="AN28" s="268">
        <f t="shared" si="6"/>
        <v>0</v>
      </c>
      <c r="AO28" s="269">
        <f t="shared" si="2"/>
        <v>3977</v>
      </c>
      <c r="AP28" s="270">
        <f t="shared" si="7"/>
        <v>1494.6</v>
      </c>
      <c r="AQ28" s="115">
        <f>F28-AP28</f>
        <v>303.40000000000009</v>
      </c>
      <c r="AR28" s="267"/>
      <c r="AS28" s="556">
        <f>AM28+AH28</f>
        <v>2972</v>
      </c>
      <c r="AT28" s="256">
        <f>AD28+AE28+AF28+AS28+AG28+AL28</f>
        <v>3977</v>
      </c>
      <c r="AU28" s="132">
        <f t="shared" si="4"/>
        <v>1494.6</v>
      </c>
      <c r="AV28" s="257" t="s">
        <v>65</v>
      </c>
    </row>
    <row r="29" spans="1:48" s="134" customFormat="1" ht="13.5" customHeight="1" thickBot="1">
      <c r="A29" s="135"/>
      <c r="B29" s="275" t="s">
        <v>320</v>
      </c>
      <c r="C29" s="276"/>
      <c r="D29" s="276"/>
      <c r="E29" s="276">
        <f>907+707+878</f>
        <v>2492</v>
      </c>
      <c r="F29" s="276">
        <f>F26+F27+F28</f>
        <v>6850</v>
      </c>
      <c r="G29" s="277">
        <f>G26+G27+G28</f>
        <v>251.35444800000002</v>
      </c>
      <c r="H29" s="277">
        <f>H26+H27+H28</f>
        <v>849.72879999999998</v>
      </c>
      <c r="I29" s="277">
        <f>I26+I27+I28</f>
        <v>0</v>
      </c>
      <c r="J29" s="277">
        <f>J26+J27+J28</f>
        <v>0</v>
      </c>
      <c r="K29" s="276"/>
      <c r="L29" s="278">
        <f>L26+L27+L28</f>
        <v>1101.0832479999999</v>
      </c>
      <c r="M29" s="263"/>
      <c r="N29" s="172"/>
      <c r="O29" s="173"/>
      <c r="P29" s="173"/>
      <c r="Q29" s="271"/>
      <c r="R29" s="271"/>
      <c r="S29" s="271"/>
      <c r="T29" s="271"/>
      <c r="U29" s="265"/>
      <c r="V29" s="266"/>
      <c r="W29" s="271"/>
      <c r="X29" s="271"/>
      <c r="Y29" s="271"/>
      <c r="Z29" s="271"/>
      <c r="AA29" s="304"/>
      <c r="AB29" s="304"/>
      <c r="AC29" s="305"/>
      <c r="AD29" s="306"/>
      <c r="AE29" s="306"/>
      <c r="AF29" s="306"/>
      <c r="AG29" s="306"/>
      <c r="AH29" s="306"/>
      <c r="AI29" s="306"/>
      <c r="AJ29" s="306"/>
      <c r="AK29" s="306"/>
      <c r="AL29" s="307"/>
      <c r="AM29" s="300">
        <f>AA29-AB29-AD29-AE29-AF29-AH29</f>
        <v>0</v>
      </c>
      <c r="AN29" s="269">
        <f t="shared" si="6"/>
        <v>0</v>
      </c>
      <c r="AO29" s="269">
        <f t="shared" si="2"/>
        <v>0</v>
      </c>
      <c r="AP29" s="270">
        <f t="shared" si="7"/>
        <v>0</v>
      </c>
      <c r="AQ29" s="115"/>
      <c r="AR29" s="303"/>
      <c r="AS29" s="308"/>
      <c r="AT29" s="302">
        <f>AD29+AE29+AF29+AH29+AM29</f>
        <v>0</v>
      </c>
      <c r="AU29" s="132">
        <f t="shared" si="4"/>
        <v>0</v>
      </c>
      <c r="AV29" s="257"/>
    </row>
    <row r="30" spans="1:48" ht="15">
      <c r="B30" s="309" t="s">
        <v>325</v>
      </c>
      <c r="C30" s="242"/>
      <c r="D30" s="242"/>
      <c r="E30" s="242"/>
      <c r="F30" s="242"/>
      <c r="G30" s="243"/>
      <c r="H30" s="243"/>
      <c r="I30" s="243"/>
      <c r="J30" s="243"/>
      <c r="K30" s="242"/>
      <c r="L30" s="310"/>
      <c r="M30" s="263">
        <f>E30</f>
        <v>0</v>
      </c>
      <c r="N30" s="173"/>
      <c r="O30" s="173"/>
      <c r="P30" s="173">
        <f>E30-O30</f>
        <v>0</v>
      </c>
      <c r="Q30" s="174"/>
      <c r="R30" s="174"/>
      <c r="S30" s="174"/>
      <c r="T30" s="174"/>
      <c r="U30" s="175"/>
      <c r="V30" s="176"/>
      <c r="W30" s="174"/>
      <c r="X30" s="174"/>
      <c r="Y30" s="174"/>
      <c r="Z30" s="174"/>
      <c r="AA30" s="311"/>
      <c r="AB30" s="311"/>
      <c r="AC30" s="311"/>
      <c r="AD30" s="312"/>
      <c r="AE30" s="312"/>
      <c r="AF30" s="312"/>
      <c r="AG30" s="312"/>
      <c r="AH30" s="312"/>
      <c r="AI30" s="312"/>
      <c r="AJ30" s="312"/>
      <c r="AK30" s="312"/>
      <c r="AL30" s="313"/>
      <c r="AM30" s="269">
        <f>AA30-AB30-AD30-AE30-AF30-AH30</f>
        <v>0</v>
      </c>
      <c r="AN30" s="269">
        <f t="shared" si="6"/>
        <v>0</v>
      </c>
      <c r="AO30" s="269">
        <f t="shared" si="2"/>
        <v>0</v>
      </c>
      <c r="AP30" s="270">
        <f t="shared" si="7"/>
        <v>0</v>
      </c>
      <c r="AQ30" s="115">
        <f>F30-AP30</f>
        <v>0</v>
      </c>
      <c r="AR30" s="314"/>
      <c r="AS30" s="315"/>
      <c r="AT30" s="316">
        <f>AD30+AE30+AF30+AH30+AM30</f>
        <v>0</v>
      </c>
      <c r="AU30" s="132">
        <f t="shared" si="4"/>
        <v>0</v>
      </c>
      <c r="AV30" s="257"/>
    </row>
    <row r="31" spans="1:48" ht="15" customHeight="1">
      <c r="A31" s="239">
        <v>60</v>
      </c>
      <c r="B31" s="240" t="s">
        <v>326</v>
      </c>
      <c r="C31" s="258">
        <v>5</v>
      </c>
      <c r="D31" s="259">
        <v>4</v>
      </c>
      <c r="E31" s="260">
        <v>274</v>
      </c>
      <c r="F31" s="260">
        <v>1811</v>
      </c>
      <c r="G31" s="261">
        <f>E31*0.300304</f>
        <v>82.283296000000007</v>
      </c>
      <c r="H31" s="261">
        <f>F31*0.124048</f>
        <v>224.65092800000002</v>
      </c>
      <c r="I31" s="259"/>
      <c r="J31" s="259"/>
      <c r="K31" s="259"/>
      <c r="L31" s="262">
        <f>SUM(G31:K31)</f>
        <v>306.93422400000003</v>
      </c>
      <c r="M31" s="263"/>
      <c r="N31" s="264"/>
      <c r="O31" s="173"/>
      <c r="P31" s="173"/>
      <c r="Q31" s="265"/>
      <c r="R31" s="264"/>
      <c r="S31" s="271">
        <f>T31-L38</f>
        <v>95.327497600000015</v>
      </c>
      <c r="T31" s="271">
        <f>L38*1.1</f>
        <v>1048.6024735999999</v>
      </c>
      <c r="U31" s="265">
        <v>1520.83</v>
      </c>
      <c r="V31" s="266">
        <f>U31/L38</f>
        <v>1.5953738829707831</v>
      </c>
      <c r="W31" s="264"/>
      <c r="X31" s="264"/>
      <c r="Y31" s="264"/>
      <c r="Z31" s="264"/>
      <c r="AA31" s="115"/>
      <c r="AB31" s="267"/>
      <c r="AC31" s="267"/>
      <c r="AD31" s="556">
        <f>(57+13)*2</f>
        <v>140</v>
      </c>
      <c r="AE31" s="556">
        <f>3.5*3*4</f>
        <v>42</v>
      </c>
      <c r="AF31" s="557">
        <f>3*30/2+8*4+57*4+4*58/2+16+42*26/2</f>
        <v>983</v>
      </c>
      <c r="AG31" s="557"/>
      <c r="AH31" s="116">
        <f>8*4+10*4*3+10*4</f>
        <v>192</v>
      </c>
      <c r="AI31" s="116"/>
      <c r="AJ31" s="116"/>
      <c r="AK31" s="116"/>
      <c r="AL31" s="557"/>
      <c r="AM31" s="116">
        <f>24*32/2+4*14+20*10/2+4*24+24*30+42*57-42*26</f>
        <v>2658</v>
      </c>
      <c r="AN31" s="268">
        <f t="shared" si="6"/>
        <v>0</v>
      </c>
      <c r="AO31" s="269">
        <f t="shared" si="2"/>
        <v>4015</v>
      </c>
      <c r="AP31" s="270">
        <f t="shared" si="7"/>
        <v>1554</v>
      </c>
      <c r="AQ31" s="115">
        <f>F31-AP31</f>
        <v>257</v>
      </c>
      <c r="AR31" s="267"/>
      <c r="AS31" s="556">
        <f>AM31+AH31</f>
        <v>2850</v>
      </c>
      <c r="AT31" s="256">
        <f>AD31+AE31+AF31+AS31+AG31+AL31</f>
        <v>4015</v>
      </c>
      <c r="AU31" s="132">
        <f t="shared" si="4"/>
        <v>1554</v>
      </c>
      <c r="AV31" s="257" t="s">
        <v>66</v>
      </c>
    </row>
    <row r="32" spans="1:48" ht="15" customHeight="1">
      <c r="A32" s="239">
        <v>60</v>
      </c>
      <c r="B32" s="240" t="s">
        <v>327</v>
      </c>
      <c r="C32" s="258">
        <v>5</v>
      </c>
      <c r="D32" s="259">
        <v>4</v>
      </c>
      <c r="E32" s="259">
        <v>275</v>
      </c>
      <c r="F32" s="259">
        <v>1767</v>
      </c>
      <c r="G32" s="261">
        <f>E32*0.300304</f>
        <v>82.583600000000004</v>
      </c>
      <c r="H32" s="261">
        <f>F32*0.124048</f>
        <v>219.19281600000002</v>
      </c>
      <c r="I32" s="259"/>
      <c r="J32" s="259"/>
      <c r="K32" s="259"/>
      <c r="L32" s="262">
        <f>SUM(G32:K32)</f>
        <v>301.77641600000004</v>
      </c>
      <c r="M32" s="263">
        <f>E39</f>
        <v>0</v>
      </c>
      <c r="N32" s="173" t="e">
        <f>E39/C39</f>
        <v>#DIV/0!</v>
      </c>
      <c r="O32" s="173" t="e">
        <f>N32*3</f>
        <v>#DIV/0!</v>
      </c>
      <c r="P32" s="173" t="e">
        <f>E39-O32</f>
        <v>#DIV/0!</v>
      </c>
      <c r="Q32" s="264"/>
      <c r="R32" s="264"/>
      <c r="S32" s="264"/>
      <c r="T32" s="264"/>
      <c r="U32" s="265">
        <f>1.0542*L39</f>
        <v>0</v>
      </c>
      <c r="V32" s="266"/>
      <c r="W32" s="264"/>
      <c r="X32" s="264"/>
      <c r="Y32" s="264"/>
      <c r="Z32" s="264"/>
      <c r="AA32" s="115"/>
      <c r="AB32" s="267"/>
      <c r="AC32" s="267"/>
      <c r="AD32" s="556">
        <f>(57+13)*2</f>
        <v>140</v>
      </c>
      <c r="AE32" s="556">
        <f>3.5*3*4</f>
        <v>42</v>
      </c>
      <c r="AF32" s="557">
        <f>4*41+1.5*62</f>
        <v>257</v>
      </c>
      <c r="AG32" s="557"/>
      <c r="AH32" s="118">
        <f>4*10+4*11*2+4*7+3*6</f>
        <v>174</v>
      </c>
      <c r="AI32" s="118"/>
      <c r="AJ32" s="118"/>
      <c r="AK32" s="118"/>
      <c r="AL32" s="557">
        <f>24.5*2*22/2</f>
        <v>539</v>
      </c>
      <c r="AM32" s="116">
        <f>24*10/2+10*55+38*14+24.5*2*22/2+40*10</f>
        <v>2141</v>
      </c>
      <c r="AN32" s="268">
        <f t="shared" si="6"/>
        <v>0</v>
      </c>
      <c r="AO32" s="269">
        <f t="shared" si="2"/>
        <v>3293</v>
      </c>
      <c r="AP32" s="270">
        <f t="shared" si="7"/>
        <v>1119.5999999999999</v>
      </c>
      <c r="AQ32" s="115">
        <f>F32-AP32</f>
        <v>647.40000000000009</v>
      </c>
      <c r="AR32" s="303">
        <f>AP32*0.138562</f>
        <v>155.13401519999996</v>
      </c>
      <c r="AS32" s="556">
        <f>AM32+AH32</f>
        <v>2315</v>
      </c>
      <c r="AT32" s="256">
        <f>AD32+AE32+AF32+AS32+AG32+AL32</f>
        <v>3293</v>
      </c>
      <c r="AU32" s="132">
        <f t="shared" si="4"/>
        <v>1119.5999999999999</v>
      </c>
      <c r="AV32" s="257" t="s">
        <v>58</v>
      </c>
    </row>
    <row r="33" spans="1:48" ht="15" customHeight="1">
      <c r="A33" s="239">
        <v>60</v>
      </c>
      <c r="B33" s="240" t="s">
        <v>328</v>
      </c>
      <c r="C33" s="258">
        <v>5</v>
      </c>
      <c r="D33" s="259">
        <v>4</v>
      </c>
      <c r="E33" s="259">
        <v>276</v>
      </c>
      <c r="F33" s="259">
        <v>2376</v>
      </c>
      <c r="G33" s="261">
        <f>E33*0.300304</f>
        <v>82.883904000000001</v>
      </c>
      <c r="H33" s="261">
        <f>F33*0.124048</f>
        <v>294.73804799999999</v>
      </c>
      <c r="I33" s="259"/>
      <c r="J33" s="259"/>
      <c r="K33" s="259"/>
      <c r="L33" s="262">
        <f>SUM(G33:K33)</f>
        <v>377.62195199999996</v>
      </c>
      <c r="M33" s="263">
        <f>E40</f>
        <v>707</v>
      </c>
      <c r="N33" s="173">
        <f>E40/C40</f>
        <v>78.555555555555557</v>
      </c>
      <c r="O33" s="173">
        <f>N33*3</f>
        <v>235.66666666666669</v>
      </c>
      <c r="P33" s="173">
        <f>E40-O33</f>
        <v>471.33333333333331</v>
      </c>
      <c r="Q33" s="264"/>
      <c r="R33" s="264"/>
      <c r="S33" s="264"/>
      <c r="T33" s="264"/>
      <c r="U33" s="265">
        <f>1.0542*L40</f>
        <v>613.46568077760003</v>
      </c>
      <c r="V33" s="266"/>
      <c r="W33" s="264"/>
      <c r="X33" s="264"/>
      <c r="Y33" s="264"/>
      <c r="Z33" s="264"/>
      <c r="AA33" s="115"/>
      <c r="AB33" s="267"/>
      <c r="AC33" s="267"/>
      <c r="AD33" s="556">
        <f>(57+13)*2</f>
        <v>140</v>
      </c>
      <c r="AE33" s="556">
        <f>3.5*3*4</f>
        <v>42</v>
      </c>
      <c r="AF33" s="557">
        <f>1.5*62+3*68+24*13/2+4*16+1*44</f>
        <v>561</v>
      </c>
      <c r="AG33" s="557"/>
      <c r="AH33" s="118">
        <f>6*3+4*10+4*11+2+4*7</f>
        <v>132</v>
      </c>
      <c r="AI33" s="118"/>
      <c r="AJ33" s="118"/>
      <c r="AK33" s="118"/>
      <c r="AL33" s="557"/>
      <c r="AM33" s="116">
        <f>26*80/2+7*7+14*4-1+6*24+44*56/2+22*26/2+40*10</f>
        <v>3206</v>
      </c>
      <c r="AN33" s="268">
        <f t="shared" si="6"/>
        <v>0</v>
      </c>
      <c r="AO33" s="269">
        <f t="shared" si="2"/>
        <v>4081</v>
      </c>
      <c r="AP33" s="270">
        <f t="shared" si="7"/>
        <v>1447.2</v>
      </c>
      <c r="AQ33" s="115">
        <f>F33-AP33</f>
        <v>928.8</v>
      </c>
      <c r="AR33" s="303">
        <f>AP33*0.138562</f>
        <v>200.52692639999998</v>
      </c>
      <c r="AS33" s="556">
        <f>AM33+AH33</f>
        <v>3338</v>
      </c>
      <c r="AT33" s="256">
        <f>AD33+AE33+AF33+AS33+AG33+AL33</f>
        <v>4081</v>
      </c>
      <c r="AU33" s="132">
        <f t="shared" si="4"/>
        <v>1447.2</v>
      </c>
      <c r="AV33" s="257" t="s">
        <v>59</v>
      </c>
    </row>
    <row r="34" spans="1:48" s="134" customFormat="1" ht="13.5" customHeight="1" thickBot="1">
      <c r="A34" s="135"/>
      <c r="B34" s="275" t="s">
        <v>320</v>
      </c>
      <c r="C34" s="276"/>
      <c r="D34" s="276"/>
      <c r="E34" s="276">
        <f>907+707+878</f>
        <v>2492</v>
      </c>
      <c r="F34" s="276">
        <f>F31+F32+F33</f>
        <v>5954</v>
      </c>
      <c r="G34" s="277">
        <f>G31+G32+G33</f>
        <v>247.7508</v>
      </c>
      <c r="H34" s="277">
        <f>H31+H32+H33</f>
        <v>738.58179199999995</v>
      </c>
      <c r="I34" s="277">
        <f>I31+I32+I33</f>
        <v>0</v>
      </c>
      <c r="J34" s="277">
        <f>J31+J32+J33</f>
        <v>0</v>
      </c>
      <c r="K34" s="276"/>
      <c r="L34" s="278">
        <f>L31+L32+L33</f>
        <v>986.33259199999998</v>
      </c>
      <c r="M34" s="263"/>
      <c r="N34" s="172"/>
      <c r="O34" s="173"/>
      <c r="P34" s="173"/>
      <c r="Q34" s="271"/>
      <c r="R34" s="271"/>
      <c r="S34" s="271">
        <f>T34-L34</f>
        <v>98.633259200000111</v>
      </c>
      <c r="T34" s="271">
        <f>L34*1.1</f>
        <v>1084.9658512000001</v>
      </c>
      <c r="U34" s="265">
        <v>2214.71</v>
      </c>
      <c r="V34" s="266">
        <f>U34/L34</f>
        <v>2.2453987812662688</v>
      </c>
      <c r="W34" s="271"/>
      <c r="X34" s="271"/>
      <c r="Y34" s="271"/>
      <c r="Z34" s="271"/>
      <c r="AA34" s="304"/>
      <c r="AB34" s="304"/>
      <c r="AC34" s="305"/>
      <c r="AD34" s="317"/>
      <c r="AE34" s="305"/>
      <c r="AF34" s="305"/>
      <c r="AG34" s="305"/>
      <c r="AH34" s="305"/>
      <c r="AI34" s="305"/>
      <c r="AJ34" s="305"/>
      <c r="AK34" s="305"/>
      <c r="AL34" s="307"/>
      <c r="AM34" s="300"/>
      <c r="AN34" s="269">
        <f t="shared" si="6"/>
        <v>0</v>
      </c>
      <c r="AO34" s="269">
        <f t="shared" si="2"/>
        <v>0</v>
      </c>
      <c r="AP34" s="270">
        <f t="shared" si="7"/>
        <v>0</v>
      </c>
      <c r="AQ34" s="115"/>
      <c r="AR34" s="303"/>
      <c r="AS34" s="308"/>
      <c r="AT34" s="302">
        <f>AD34+AE34+AF34+AH34+AM34</f>
        <v>0</v>
      </c>
      <c r="AU34" s="132">
        <f t="shared" si="4"/>
        <v>0</v>
      </c>
      <c r="AV34" s="257"/>
    </row>
    <row r="35" spans="1:48" s="134" customFormat="1" ht="15.75" customHeight="1">
      <c r="A35" s="135"/>
      <c r="B35" s="309" t="s">
        <v>329</v>
      </c>
      <c r="C35" s="318"/>
      <c r="D35" s="318"/>
      <c r="E35" s="319"/>
      <c r="F35" s="319"/>
      <c r="G35" s="320"/>
      <c r="H35" s="320"/>
      <c r="I35" s="320"/>
      <c r="J35" s="320"/>
      <c r="K35" s="319"/>
      <c r="L35" s="310"/>
      <c r="M35" s="263">
        <f>E35</f>
        <v>0</v>
      </c>
      <c r="N35" s="172"/>
      <c r="O35" s="173"/>
      <c r="P35" s="173"/>
      <c r="Q35" s="271"/>
      <c r="R35" s="271"/>
      <c r="S35" s="271"/>
      <c r="T35" s="271"/>
      <c r="U35" s="265"/>
      <c r="V35" s="266"/>
      <c r="W35" s="271"/>
      <c r="X35" s="271"/>
      <c r="Y35" s="271"/>
      <c r="Z35" s="271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21"/>
      <c r="AM35" s="269">
        <f>AA35-AB35-AD35-AE35-AF35-AH35</f>
        <v>0</v>
      </c>
      <c r="AN35" s="269">
        <f t="shared" si="6"/>
        <v>0</v>
      </c>
      <c r="AO35" s="269">
        <f t="shared" si="2"/>
        <v>0</v>
      </c>
      <c r="AP35" s="270">
        <f t="shared" si="7"/>
        <v>0</v>
      </c>
      <c r="AQ35" s="115">
        <f>F35-AP35</f>
        <v>0</v>
      </c>
      <c r="AR35" s="303"/>
      <c r="AS35" s="322"/>
      <c r="AT35" s="316">
        <f>AD35+AE35+AF35+AH35+AM35</f>
        <v>0</v>
      </c>
      <c r="AU35" s="132">
        <f t="shared" si="4"/>
        <v>0</v>
      </c>
      <c r="AV35" s="257"/>
    </row>
    <row r="36" spans="1:48" s="323" customFormat="1" ht="15" customHeight="1">
      <c r="A36" s="239">
        <v>34</v>
      </c>
      <c r="B36" s="240" t="s">
        <v>330</v>
      </c>
      <c r="C36" s="258">
        <v>9</v>
      </c>
      <c r="D36" s="259">
        <v>1</v>
      </c>
      <c r="E36" s="260">
        <v>270</v>
      </c>
      <c r="F36" s="260">
        <v>266</v>
      </c>
      <c r="G36" s="261">
        <f>E36*0.300304</f>
        <v>81.082080000000005</v>
      </c>
      <c r="H36" s="261">
        <f>F36*0.124048</f>
        <v>32.996768000000003</v>
      </c>
      <c r="I36" s="261">
        <f>40.2*D36</f>
        <v>40.200000000000003</v>
      </c>
      <c r="J36" s="261">
        <f>1.95*D36</f>
        <v>1.95</v>
      </c>
      <c r="K36" s="259"/>
      <c r="L36" s="262">
        <f>SUM(G36:K36)</f>
        <v>156.228848</v>
      </c>
      <c r="M36" s="263">
        <f>E43</f>
        <v>2017</v>
      </c>
      <c r="N36" s="264"/>
      <c r="O36" s="173"/>
      <c r="P36" s="173"/>
      <c r="Q36" s="264"/>
      <c r="R36" s="264"/>
      <c r="S36" s="264"/>
      <c r="T36" s="264"/>
      <c r="U36" s="265"/>
      <c r="V36" s="266"/>
      <c r="W36" s="264"/>
      <c r="X36" s="264"/>
      <c r="Y36" s="264"/>
      <c r="Z36" s="264"/>
      <c r="AA36" s="115"/>
      <c r="AB36" s="267"/>
      <c r="AC36" s="267"/>
      <c r="AD36" s="556">
        <f>15+16</f>
        <v>31</v>
      </c>
      <c r="AE36" s="556">
        <f>3.5*4</f>
        <v>14</v>
      </c>
      <c r="AF36" s="557">
        <f>6*6+28*4</f>
        <v>148</v>
      </c>
      <c r="AG36" s="557"/>
      <c r="AH36" s="116">
        <f>10*4*2</f>
        <v>80</v>
      </c>
      <c r="AI36" s="116"/>
      <c r="AJ36" s="116"/>
      <c r="AK36" s="116"/>
      <c r="AL36" s="557"/>
      <c r="AM36" s="116">
        <f>30*23/2+16*40</f>
        <v>985</v>
      </c>
      <c r="AN36" s="268">
        <f t="shared" si="6"/>
        <v>0</v>
      </c>
      <c r="AO36" s="269">
        <f t="shared" si="2"/>
        <v>1258</v>
      </c>
      <c r="AP36" s="270">
        <f t="shared" si="7"/>
        <v>435.3</v>
      </c>
      <c r="AQ36" s="115">
        <f>F36-AP36</f>
        <v>-169.3</v>
      </c>
      <c r="AR36" s="267"/>
      <c r="AS36" s="556">
        <f>AM36+AH36</f>
        <v>1065</v>
      </c>
      <c r="AT36" s="256">
        <f>AD36+AE36+AF36+AS36+AG36+AL36</f>
        <v>1258</v>
      </c>
      <c r="AU36" s="132">
        <f t="shared" si="4"/>
        <v>435.3</v>
      </c>
      <c r="AV36" s="257" t="s">
        <v>331</v>
      </c>
    </row>
    <row r="37" spans="1:48" s="323" customFormat="1" ht="15" customHeight="1">
      <c r="A37" s="127">
        <v>99</v>
      </c>
      <c r="B37" s="240" t="s">
        <v>332</v>
      </c>
      <c r="C37" s="258">
        <v>9</v>
      </c>
      <c r="D37" s="259">
        <v>2</v>
      </c>
      <c r="E37" s="259">
        <v>907</v>
      </c>
      <c r="F37" s="259">
        <v>3550</v>
      </c>
      <c r="G37" s="261">
        <f>E37*0.300304</f>
        <v>272.37572800000004</v>
      </c>
      <c r="H37" s="261">
        <f>F37*0.124048</f>
        <v>440.37040000000002</v>
      </c>
      <c r="I37" s="261">
        <f>40.2*D37</f>
        <v>80.400000000000006</v>
      </c>
      <c r="J37" s="261">
        <f>1.95*D37</f>
        <v>3.9</v>
      </c>
      <c r="K37" s="259"/>
      <c r="L37" s="262">
        <f>G37+H37+I37+J37+K37</f>
        <v>797.04612799999995</v>
      </c>
      <c r="M37" s="263">
        <f>E37</f>
        <v>907</v>
      </c>
      <c r="N37" s="173">
        <f>E37/C37</f>
        <v>100.77777777777777</v>
      </c>
      <c r="O37" s="173">
        <f>N37*3</f>
        <v>302.33333333333331</v>
      </c>
      <c r="P37" s="173">
        <f>E37-O37</f>
        <v>604.66666666666674</v>
      </c>
      <c r="Q37" s="174"/>
      <c r="R37" s="174"/>
      <c r="S37" s="174"/>
      <c r="T37" s="174"/>
      <c r="U37" s="174">
        <f>1.0322*L37</f>
        <v>822.71101332159992</v>
      </c>
      <c r="V37" s="176"/>
      <c r="W37" s="174"/>
      <c r="X37" s="174"/>
      <c r="Y37" s="174"/>
      <c r="Z37" s="174"/>
      <c r="AA37" s="311"/>
      <c r="AB37" s="314"/>
      <c r="AC37" s="314"/>
      <c r="AD37" s="558">
        <v>159</v>
      </c>
      <c r="AE37" s="558">
        <f>4*2.5*2*2</f>
        <v>40</v>
      </c>
      <c r="AF37" s="559">
        <f>96*2+41*2+3.5*43</f>
        <v>424.5</v>
      </c>
      <c r="AG37" s="559"/>
      <c r="AH37" s="324">
        <f>4*20+12*2+3*34+8+17*5+6*33+11*4</f>
        <v>541</v>
      </c>
      <c r="AI37" s="324"/>
      <c r="AJ37" s="324"/>
      <c r="AK37" s="324"/>
      <c r="AL37" s="559"/>
      <c r="AM37" s="116">
        <f>26*8/2+8*16+5*16+5*6+24*7+14*51+14*32</f>
        <v>1672</v>
      </c>
      <c r="AN37" s="268">
        <f t="shared" si="6"/>
        <v>0</v>
      </c>
      <c r="AO37" s="269">
        <f t="shared" si="2"/>
        <v>2836.5</v>
      </c>
      <c r="AP37" s="270">
        <f t="shared" si="7"/>
        <v>1038</v>
      </c>
      <c r="AQ37" s="115">
        <f>F37-AP37</f>
        <v>2512</v>
      </c>
      <c r="AR37" s="314"/>
      <c r="AS37" s="556">
        <f>AM37+AH37</f>
        <v>2213</v>
      </c>
      <c r="AT37" s="256">
        <f>AD37+AE37+AF37+AS37+AG37+AL37</f>
        <v>2836.5</v>
      </c>
      <c r="AU37" s="132">
        <f t="shared" si="4"/>
        <v>1038</v>
      </c>
      <c r="AV37" s="257" t="s">
        <v>68</v>
      </c>
    </row>
    <row r="38" spans="1:48" s="323" customFormat="1" ht="11.25" customHeight="1" thickBot="1">
      <c r="A38" s="325"/>
      <c r="B38" s="275" t="s">
        <v>320</v>
      </c>
      <c r="C38" s="326"/>
      <c r="D38" s="326"/>
      <c r="E38" s="327">
        <f t="shared" ref="E38:L38" si="8">SUM(E36:E37)</f>
        <v>1177</v>
      </c>
      <c r="F38" s="327">
        <f t="shared" si="8"/>
        <v>3816</v>
      </c>
      <c r="G38" s="327">
        <f t="shared" si="8"/>
        <v>353.45780800000006</v>
      </c>
      <c r="H38" s="327">
        <f t="shared" si="8"/>
        <v>473.36716799999999</v>
      </c>
      <c r="I38" s="327">
        <f t="shared" si="8"/>
        <v>120.60000000000001</v>
      </c>
      <c r="J38" s="327">
        <f t="shared" si="8"/>
        <v>5.85</v>
      </c>
      <c r="K38" s="327">
        <f t="shared" si="8"/>
        <v>0</v>
      </c>
      <c r="L38" s="328">
        <f t="shared" si="8"/>
        <v>953.27497599999992</v>
      </c>
      <c r="M38" s="263"/>
      <c r="N38" s="173"/>
      <c r="O38" s="173"/>
      <c r="P38" s="173"/>
      <c r="Q38" s="329"/>
      <c r="R38" s="329"/>
      <c r="S38" s="271">
        <f>T38-L38</f>
        <v>95.327497600000015</v>
      </c>
      <c r="T38" s="271">
        <f>L38*1.1</f>
        <v>1048.6024735999999</v>
      </c>
      <c r="U38" s="329">
        <f>1937.46</f>
        <v>1937.46</v>
      </c>
      <c r="V38" s="330">
        <f>U38/L38</f>
        <v>2.0324251121430885</v>
      </c>
      <c r="W38" s="329"/>
      <c r="X38" s="329"/>
      <c r="Y38" s="329"/>
      <c r="Z38" s="329"/>
      <c r="AA38" s="331"/>
      <c r="AB38" s="331"/>
      <c r="AC38" s="332"/>
      <c r="AD38" s="332"/>
      <c r="AE38" s="332"/>
      <c r="AF38" s="305"/>
      <c r="AG38" s="305"/>
      <c r="AH38" s="305"/>
      <c r="AI38" s="305"/>
      <c r="AJ38" s="305"/>
      <c r="AK38" s="305"/>
      <c r="AL38" s="307"/>
      <c r="AM38" s="300">
        <f>AA38-AB38-AD38-AE38-AF38-AH38</f>
        <v>0</v>
      </c>
      <c r="AN38" s="269">
        <f t="shared" si="6"/>
        <v>0</v>
      </c>
      <c r="AO38" s="269">
        <f t="shared" si="2"/>
        <v>0</v>
      </c>
      <c r="AP38" s="270">
        <f t="shared" si="7"/>
        <v>0</v>
      </c>
      <c r="AQ38" s="115"/>
      <c r="AR38" s="333"/>
      <c r="AS38" s="334"/>
      <c r="AT38" s="302">
        <f>AD38+AE38+AF38+AH38+AM38</f>
        <v>0</v>
      </c>
      <c r="AU38" s="132">
        <f t="shared" si="4"/>
        <v>0</v>
      </c>
      <c r="AV38" s="257"/>
    </row>
    <row r="39" spans="1:48" s="323" customFormat="1" ht="15.75" customHeight="1">
      <c r="A39" s="325"/>
      <c r="B39" s="309" t="s">
        <v>333</v>
      </c>
      <c r="C39" s="318"/>
      <c r="D39" s="318"/>
      <c r="E39" s="318"/>
      <c r="F39" s="318"/>
      <c r="G39" s="335"/>
      <c r="H39" s="335"/>
      <c r="I39" s="335"/>
      <c r="J39" s="335"/>
      <c r="K39" s="318"/>
      <c r="L39" s="336"/>
      <c r="M39" s="263">
        <f>E39</f>
        <v>0</v>
      </c>
      <c r="N39" s="337"/>
      <c r="O39" s="173"/>
      <c r="P39" s="173">
        <f>E39-O39</f>
        <v>0</v>
      </c>
      <c r="Q39" s="329"/>
      <c r="R39" s="329"/>
      <c r="S39" s="329"/>
      <c r="T39" s="329"/>
      <c r="U39" s="329"/>
      <c r="V39" s="330"/>
      <c r="W39" s="329"/>
      <c r="X39" s="329"/>
      <c r="Y39" s="329"/>
      <c r="Z39" s="329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8"/>
      <c r="AM39" s="269">
        <f>AA39-AB39-AD39-AE39-AF39-AH39</f>
        <v>0</v>
      </c>
      <c r="AN39" s="269">
        <f t="shared" si="6"/>
        <v>0</v>
      </c>
      <c r="AO39" s="269">
        <f t="shared" si="2"/>
        <v>0</v>
      </c>
      <c r="AP39" s="270">
        <f t="shared" si="7"/>
        <v>0</v>
      </c>
      <c r="AQ39" s="115">
        <f>F39-AP39</f>
        <v>0</v>
      </c>
      <c r="AR39" s="333"/>
      <c r="AS39" s="339"/>
      <c r="AT39" s="316">
        <f>AD39+AE39+AF39+AH39+AM39</f>
        <v>0</v>
      </c>
      <c r="AU39" s="132">
        <f t="shared" si="4"/>
        <v>0</v>
      </c>
      <c r="AV39" s="257"/>
    </row>
    <row r="40" spans="1:48" s="323" customFormat="1" ht="15" customHeight="1">
      <c r="A40" s="127">
        <v>72</v>
      </c>
      <c r="B40" s="240" t="s">
        <v>334</v>
      </c>
      <c r="C40" s="258">
        <v>9</v>
      </c>
      <c r="D40" s="259">
        <v>2</v>
      </c>
      <c r="E40" s="259">
        <v>707</v>
      </c>
      <c r="F40" s="259">
        <v>2300</v>
      </c>
      <c r="G40" s="261">
        <f>E40*0.300304</f>
        <v>212.31492800000001</v>
      </c>
      <c r="H40" s="261">
        <f>F40*0.124048</f>
        <v>285.31040000000002</v>
      </c>
      <c r="I40" s="261">
        <f>40.2*D40</f>
        <v>80.400000000000006</v>
      </c>
      <c r="J40" s="261">
        <f>1.95*D40</f>
        <v>3.9</v>
      </c>
      <c r="K40" s="259"/>
      <c r="L40" s="262">
        <f>G40+H40+I40+J40+K40</f>
        <v>581.92532800000004</v>
      </c>
      <c r="M40" s="263">
        <f>E40</f>
        <v>707</v>
      </c>
      <c r="N40" s="173">
        <f>E40/C40</f>
        <v>78.555555555555557</v>
      </c>
      <c r="O40" s="173">
        <f>N40*3</f>
        <v>235.66666666666669</v>
      </c>
      <c r="P40" s="173">
        <f>E40-O40</f>
        <v>471.33333333333331</v>
      </c>
      <c r="Q40" s="174"/>
      <c r="R40" s="174"/>
      <c r="S40" s="174"/>
      <c r="T40" s="174"/>
      <c r="U40" s="174">
        <f>1.0322*L40</f>
        <v>600.66332356160001</v>
      </c>
      <c r="V40" s="176"/>
      <c r="W40" s="174"/>
      <c r="X40" s="174"/>
      <c r="Y40" s="174"/>
      <c r="Z40" s="174"/>
      <c r="AA40" s="311"/>
      <c r="AB40" s="314"/>
      <c r="AC40" s="314"/>
      <c r="AD40" s="558">
        <v>130</v>
      </c>
      <c r="AE40" s="558">
        <f>2.5*6*2*2</f>
        <v>60</v>
      </c>
      <c r="AF40" s="559">
        <f>26*1.5+15*2+14*1.5+50*1.5+43*3+8*14+19*4+45</f>
        <v>527</v>
      </c>
      <c r="AG40" s="559"/>
      <c r="AH40" s="324">
        <f>6*10+6*14+20*6+19*5</f>
        <v>359</v>
      </c>
      <c r="AI40" s="324"/>
      <c r="AJ40" s="324"/>
      <c r="AK40" s="324"/>
      <c r="AL40" s="559"/>
      <c r="AM40" s="116">
        <f>31*15+9*9+3*10+4*26+24+18*43-26*1.5</f>
        <v>1439</v>
      </c>
      <c r="AN40" s="268">
        <f t="shared" si="6"/>
        <v>0</v>
      </c>
      <c r="AO40" s="269">
        <f t="shared" si="2"/>
        <v>2515</v>
      </c>
      <c r="AP40" s="270">
        <f t="shared" si="7"/>
        <v>969.59999999999991</v>
      </c>
      <c r="AQ40" s="115">
        <f>F40-AP40</f>
        <v>1330.4</v>
      </c>
      <c r="AR40" s="314"/>
      <c r="AS40" s="556">
        <f>AM40+AH40</f>
        <v>1798</v>
      </c>
      <c r="AT40" s="256">
        <f>AD40+AE40+AF40+AS40+AG40+AL40</f>
        <v>2515</v>
      </c>
      <c r="AU40" s="132">
        <f t="shared" si="4"/>
        <v>969.59999999999991</v>
      </c>
      <c r="AV40" s="257" t="s">
        <v>69</v>
      </c>
    </row>
    <row r="41" spans="1:48" s="323" customFormat="1" ht="15" customHeight="1">
      <c r="A41" s="127">
        <v>72</v>
      </c>
      <c r="B41" s="240" t="s">
        <v>335</v>
      </c>
      <c r="C41" s="258" t="s">
        <v>336</v>
      </c>
      <c r="D41" s="259" t="s">
        <v>42</v>
      </c>
      <c r="E41" s="259">
        <v>878</v>
      </c>
      <c r="F41" s="259">
        <v>3375</v>
      </c>
      <c r="G41" s="261">
        <f>E41*0.300304</f>
        <v>263.66691200000002</v>
      </c>
      <c r="H41" s="261">
        <f>F41*0.124048</f>
        <v>418.66200000000003</v>
      </c>
      <c r="I41" s="261">
        <f>40.2*D41</f>
        <v>80.400000000000006</v>
      </c>
      <c r="J41" s="261">
        <f>1.95*D41</f>
        <v>3.9</v>
      </c>
      <c r="K41" s="259"/>
      <c r="L41" s="262">
        <f>G41+H41+I41+J41+K41</f>
        <v>766.62891200000001</v>
      </c>
      <c r="M41" s="263">
        <f>E41</f>
        <v>878</v>
      </c>
      <c r="N41" s="173">
        <f>E41/C41</f>
        <v>97.555555555555557</v>
      </c>
      <c r="O41" s="173">
        <f>N41*3</f>
        <v>292.66666666666669</v>
      </c>
      <c r="P41" s="173">
        <f>E41-O41</f>
        <v>585.33333333333326</v>
      </c>
      <c r="Q41" s="174"/>
      <c r="R41" s="174"/>
      <c r="S41" s="174"/>
      <c r="T41" s="174"/>
      <c r="U41" s="174">
        <f>1.0322*L41</f>
        <v>791.31436296640004</v>
      </c>
      <c r="V41" s="176"/>
      <c r="W41" s="174"/>
      <c r="X41" s="174"/>
      <c r="Y41" s="174"/>
      <c r="Z41" s="174"/>
      <c r="AA41" s="311"/>
      <c r="AB41" s="314"/>
      <c r="AC41" s="314"/>
      <c r="AD41" s="558">
        <v>147</v>
      </c>
      <c r="AE41" s="556">
        <f>8*4*2*2</f>
        <v>128</v>
      </c>
      <c r="AF41" s="557">
        <f>49*4+16*16+10*7+2.3*34+57*2+5*1.5+1.5*8+36*1.5</f>
        <v>787.7</v>
      </c>
      <c r="AG41" s="557"/>
      <c r="AH41" s="118">
        <f>18*8+10*8+6*14+18*6</f>
        <v>416</v>
      </c>
      <c r="AI41" s="118"/>
      <c r="AJ41" s="118"/>
      <c r="AK41" s="118"/>
      <c r="AL41" s="557"/>
      <c r="AM41" s="116">
        <f>4*48+10+6+4*15+4*16+12*4+7*18+20+40+13*4+48*33+22*17-5*1.5-1.5*8+5*32</f>
        <v>2716.5</v>
      </c>
      <c r="AN41" s="268">
        <f t="shared" si="6"/>
        <v>0</v>
      </c>
      <c r="AO41" s="269">
        <f t="shared" si="2"/>
        <v>4195.2</v>
      </c>
      <c r="AP41" s="270">
        <f t="shared" si="7"/>
        <v>1577.37</v>
      </c>
      <c r="AQ41" s="115">
        <f>F41-AP41</f>
        <v>1797.63</v>
      </c>
      <c r="AR41" s="314"/>
      <c r="AS41" s="556">
        <f>AM41+AH41</f>
        <v>3132.5</v>
      </c>
      <c r="AT41" s="256">
        <f>AD41+AE41+AF41+AS41+AG41+AL41</f>
        <v>4195.2</v>
      </c>
      <c r="AU41" s="132">
        <f t="shared" si="4"/>
        <v>1577.37</v>
      </c>
      <c r="AV41" s="257" t="s">
        <v>70</v>
      </c>
    </row>
    <row r="42" spans="1:48" s="323" customFormat="1" ht="15" customHeight="1">
      <c r="A42" s="239">
        <v>90</v>
      </c>
      <c r="B42" s="240" t="s">
        <v>337</v>
      </c>
      <c r="C42" s="258">
        <v>5</v>
      </c>
      <c r="D42" s="259">
        <v>6</v>
      </c>
      <c r="E42" s="260">
        <v>432</v>
      </c>
      <c r="F42" s="260">
        <v>3160</v>
      </c>
      <c r="G42" s="261">
        <f>E42*0.300304</f>
        <v>129.73132800000002</v>
      </c>
      <c r="H42" s="261">
        <f>F42*0.124048</f>
        <v>391.99168000000003</v>
      </c>
      <c r="I42" s="259"/>
      <c r="J42" s="259"/>
      <c r="K42" s="259">
        <v>25</v>
      </c>
      <c r="L42" s="262">
        <f>SUM(G42:K42)</f>
        <v>546.72300800000005</v>
      </c>
      <c r="M42" s="263" t="e">
        <f>#REF!</f>
        <v>#REF!</v>
      </c>
      <c r="N42" s="173" t="e">
        <f>#REF!/#REF!</f>
        <v>#REF!</v>
      </c>
      <c r="O42" s="173" t="e">
        <f>N42*3</f>
        <v>#REF!</v>
      </c>
      <c r="P42" s="173" t="e">
        <f>#REF!-O42</f>
        <v>#REF!</v>
      </c>
      <c r="Q42" s="264"/>
      <c r="R42" s="264"/>
      <c r="S42" s="264"/>
      <c r="T42" s="264"/>
      <c r="U42" s="265" t="e">
        <f>#REF!*0.9227</f>
        <v>#REF!</v>
      </c>
      <c r="V42" s="266"/>
      <c r="W42" s="264"/>
      <c r="X42" s="264"/>
      <c r="Y42" s="264"/>
      <c r="Z42" s="264"/>
      <c r="AA42" s="117">
        <v>5167.32</v>
      </c>
      <c r="AB42" s="340">
        <v>1104</v>
      </c>
      <c r="AC42" s="340"/>
      <c r="AD42" s="556">
        <v>208</v>
      </c>
      <c r="AE42" s="556">
        <f>3*5.5*6</f>
        <v>99</v>
      </c>
      <c r="AF42" s="557">
        <f>103*3</f>
        <v>309</v>
      </c>
      <c r="AG42" s="557"/>
      <c r="AH42" s="116">
        <f>11*4*7</f>
        <v>308</v>
      </c>
      <c r="AI42" s="116"/>
      <c r="AJ42" s="116"/>
      <c r="AK42" s="116"/>
      <c r="AL42" s="557"/>
      <c r="AM42" s="116">
        <f t="shared" ref="AM42:AM59" si="9">AA42-AB42-AD42-AE42-AF42-AH42</f>
        <v>3139.3199999999997</v>
      </c>
      <c r="AN42" s="268">
        <f t="shared" si="6"/>
        <v>4063.3199999999997</v>
      </c>
      <c r="AO42" s="269">
        <f t="shared" si="2"/>
        <v>4063.3199999999997</v>
      </c>
      <c r="AP42" s="270">
        <f>(AM42+AL42)*0.3+(AG42+AF42+AE42+AD42)*0.6</f>
        <v>1311.3959999999997</v>
      </c>
      <c r="AQ42" s="115">
        <f>F42-AP42</f>
        <v>1848.6040000000003</v>
      </c>
      <c r="AR42" s="267"/>
      <c r="AS42" s="556">
        <f>AM42+AH42</f>
        <v>3447.3199999999997</v>
      </c>
      <c r="AT42" s="256">
        <f>AD42+AE42+AF42+AS42+AG42+AL42</f>
        <v>4063.3199999999997</v>
      </c>
      <c r="AU42" s="132">
        <f t="shared" si="4"/>
        <v>1403.7959999999998</v>
      </c>
      <c r="AV42" s="257" t="s">
        <v>71</v>
      </c>
    </row>
    <row r="43" spans="1:48" s="323" customFormat="1" ht="12.75" customHeight="1" thickBot="1">
      <c r="A43" s="325"/>
      <c r="B43" s="275" t="s">
        <v>320</v>
      </c>
      <c r="C43" s="326"/>
      <c r="D43" s="326"/>
      <c r="E43" s="276">
        <f t="shared" ref="E43:J43" si="10">E40+E41+E42</f>
        <v>2017</v>
      </c>
      <c r="F43" s="276">
        <f t="shared" si="10"/>
        <v>8835</v>
      </c>
      <c r="G43" s="277">
        <f t="shared" si="10"/>
        <v>605.713168</v>
      </c>
      <c r="H43" s="277">
        <f t="shared" si="10"/>
        <v>1095.9640800000002</v>
      </c>
      <c r="I43" s="277">
        <f t="shared" si="10"/>
        <v>160.80000000000001</v>
      </c>
      <c r="J43" s="277">
        <f t="shared" si="10"/>
        <v>7.8</v>
      </c>
      <c r="K43" s="276"/>
      <c r="L43" s="278">
        <f>L40+L41+L42</f>
        <v>1895.2772479999999</v>
      </c>
      <c r="M43" s="263"/>
      <c r="N43" s="337"/>
      <c r="O43" s="173"/>
      <c r="P43" s="173"/>
      <c r="Q43" s="329"/>
      <c r="R43" s="329"/>
      <c r="S43" s="271">
        <f>T43-L43</f>
        <v>189.52772480000021</v>
      </c>
      <c r="T43" s="271">
        <f>L43*1.1</f>
        <v>2084.8049728000001</v>
      </c>
      <c r="U43" s="329">
        <v>1119.2</v>
      </c>
      <c r="V43" s="330">
        <f>U43/L43</f>
        <v>0.59052046405402747</v>
      </c>
      <c r="W43" s="329"/>
      <c r="X43" s="329"/>
      <c r="Y43" s="329"/>
      <c r="Z43" s="329"/>
      <c r="AA43" s="331"/>
      <c r="AB43" s="331"/>
      <c r="AC43" s="332"/>
      <c r="AD43" s="332"/>
      <c r="AE43" s="332"/>
      <c r="AF43" s="341"/>
      <c r="AG43" s="341"/>
      <c r="AH43" s="341"/>
      <c r="AI43" s="341"/>
      <c r="AJ43" s="341"/>
      <c r="AK43" s="341"/>
      <c r="AL43" s="307"/>
      <c r="AM43" s="300">
        <f t="shared" si="9"/>
        <v>0</v>
      </c>
      <c r="AN43" s="269">
        <f t="shared" si="6"/>
        <v>0</v>
      </c>
      <c r="AO43" s="269">
        <f t="shared" si="2"/>
        <v>0</v>
      </c>
      <c r="AP43" s="270">
        <f>(AM43+AL43+AH43)*0.3+(AG43+AF43+AE43+AD43)*0.6</f>
        <v>0</v>
      </c>
      <c r="AQ43" s="115"/>
      <c r="AR43" s="342"/>
      <c r="AS43" s="343"/>
      <c r="AT43" s="302">
        <f>AD43+AE43+AF43+AH43+AM43</f>
        <v>0</v>
      </c>
      <c r="AU43" s="132">
        <f t="shared" si="4"/>
        <v>0</v>
      </c>
      <c r="AV43" s="257"/>
    </row>
    <row r="44" spans="1:48" s="323" customFormat="1" ht="15.75" customHeight="1">
      <c r="A44" s="325"/>
      <c r="B44" s="309" t="s">
        <v>338</v>
      </c>
      <c r="C44" s="344"/>
      <c r="D44" s="344"/>
      <c r="E44" s="345"/>
      <c r="F44" s="345"/>
      <c r="G44" s="346"/>
      <c r="H44" s="346"/>
      <c r="I44" s="346"/>
      <c r="J44" s="346"/>
      <c r="K44" s="345"/>
      <c r="L44" s="347"/>
      <c r="M44" s="263"/>
      <c r="N44" s="337"/>
      <c r="O44" s="173"/>
      <c r="P44" s="173"/>
      <c r="Q44" s="329"/>
      <c r="R44" s="329"/>
      <c r="S44" s="271"/>
      <c r="T44" s="271"/>
      <c r="U44" s="329"/>
      <c r="V44" s="330"/>
      <c r="W44" s="329"/>
      <c r="X44" s="329"/>
      <c r="Y44" s="329"/>
      <c r="Z44" s="329"/>
      <c r="AA44" s="331"/>
      <c r="AB44" s="331"/>
      <c r="AC44" s="331"/>
      <c r="AD44" s="331"/>
      <c r="AE44" s="331"/>
      <c r="AF44" s="348"/>
      <c r="AG44" s="348"/>
      <c r="AH44" s="348"/>
      <c r="AI44" s="348"/>
      <c r="AJ44" s="348"/>
      <c r="AK44" s="348"/>
      <c r="AL44" s="321"/>
      <c r="AM44" s="269">
        <f t="shared" si="9"/>
        <v>0</v>
      </c>
      <c r="AN44" s="269">
        <f t="shared" si="6"/>
        <v>0</v>
      </c>
      <c r="AO44" s="269">
        <f t="shared" si="2"/>
        <v>0</v>
      </c>
      <c r="AP44" s="270">
        <f>(AM44+AL44+AH44)*0.3+(AG44+AF44+AE44+AD44)*0.6</f>
        <v>0</v>
      </c>
      <c r="AQ44" s="115">
        <f t="shared" ref="AQ44:AQ49" si="11">F44-AP44</f>
        <v>0</v>
      </c>
      <c r="AR44" s="333"/>
      <c r="AS44" s="339"/>
      <c r="AT44" s="316">
        <f>AD44+AE44+AF44+AH44+AM44</f>
        <v>0</v>
      </c>
      <c r="AU44" s="132">
        <f t="shared" si="4"/>
        <v>0</v>
      </c>
      <c r="AV44" s="257"/>
    </row>
    <row r="45" spans="1:48" s="349" customFormat="1" ht="15" customHeight="1">
      <c r="A45" s="239">
        <v>35</v>
      </c>
      <c r="B45" s="240" t="s">
        <v>339</v>
      </c>
      <c r="C45" s="258" t="s">
        <v>336</v>
      </c>
      <c r="D45" s="259" t="s">
        <v>43</v>
      </c>
      <c r="E45" s="260">
        <v>263</v>
      </c>
      <c r="F45" s="260">
        <v>700</v>
      </c>
      <c r="G45" s="261">
        <f>E45*0.300304</f>
        <v>78.979951999999997</v>
      </c>
      <c r="H45" s="261">
        <f>F45*0.124048</f>
        <v>86.833600000000004</v>
      </c>
      <c r="I45" s="261">
        <f>40.2*D45</f>
        <v>40.200000000000003</v>
      </c>
      <c r="J45" s="261">
        <f>1.95*D45</f>
        <v>1.95</v>
      </c>
      <c r="K45" s="259">
        <v>25</v>
      </c>
      <c r="L45" s="262">
        <f>SUM(G45:K45)</f>
        <v>232.96355199999999</v>
      </c>
      <c r="M45" s="263">
        <f>E50</f>
        <v>1282</v>
      </c>
      <c r="N45" s="173" t="e">
        <f>E50/C50</f>
        <v>#DIV/0!</v>
      </c>
      <c r="O45" s="173" t="e">
        <f>N45*3</f>
        <v>#DIV/0!</v>
      </c>
      <c r="P45" s="173" t="e">
        <f>E50-O45</f>
        <v>#DIV/0!</v>
      </c>
      <c r="Q45" s="264"/>
      <c r="R45" s="264"/>
      <c r="S45" s="264"/>
      <c r="T45" s="264"/>
      <c r="U45" s="265">
        <f>L50*0.9227</f>
        <v>1161.5410721584001</v>
      </c>
      <c r="V45" s="266"/>
      <c r="W45" s="264"/>
      <c r="X45" s="264"/>
      <c r="Y45" s="264"/>
      <c r="Z45" s="264"/>
      <c r="AA45" s="115">
        <v>1377</v>
      </c>
      <c r="AB45" s="267">
        <v>338</v>
      </c>
      <c r="AC45" s="267"/>
      <c r="AD45" s="556">
        <v>73</v>
      </c>
      <c r="AE45" s="556">
        <f>3*2.5+13*12</f>
        <v>163.5</v>
      </c>
      <c r="AF45" s="557">
        <f>10*3.5</f>
        <v>35</v>
      </c>
      <c r="AG45" s="557"/>
      <c r="AH45" s="118">
        <f>10.5*4</f>
        <v>42</v>
      </c>
      <c r="AI45" s="118"/>
      <c r="AJ45" s="118"/>
      <c r="AK45" s="118"/>
      <c r="AL45" s="557">
        <f>26*16/2</f>
        <v>208</v>
      </c>
      <c r="AM45" s="116">
        <f t="shared" si="9"/>
        <v>725.5</v>
      </c>
      <c r="AN45" s="268">
        <f t="shared" si="6"/>
        <v>1039</v>
      </c>
      <c r="AO45" s="269">
        <f t="shared" si="2"/>
        <v>1247</v>
      </c>
      <c r="AP45" s="270">
        <f>(AM45+AL45)*0.3+(AG45+AF45+AE45+AD45)*0.6</f>
        <v>442.95000000000005</v>
      </c>
      <c r="AQ45" s="115">
        <f t="shared" si="11"/>
        <v>257.04999999999995</v>
      </c>
      <c r="AR45" s="267"/>
      <c r="AS45" s="556">
        <f>AM45+AH45</f>
        <v>767.5</v>
      </c>
      <c r="AT45" s="256">
        <f>AD45+AE45+AF45+AS45+AG45+AL45</f>
        <v>1247</v>
      </c>
      <c r="AU45" s="132">
        <f t="shared" si="4"/>
        <v>455.54999999999995</v>
      </c>
      <c r="AV45" s="257" t="s">
        <v>72</v>
      </c>
    </row>
    <row r="46" spans="1:48" s="323" customFormat="1" ht="15.75" customHeight="1">
      <c r="A46" s="325"/>
      <c r="B46" s="350" t="s">
        <v>340</v>
      </c>
      <c r="C46" s="351"/>
      <c r="D46" s="351"/>
      <c r="E46" s="351"/>
      <c r="F46" s="351"/>
      <c r="G46" s="352"/>
      <c r="H46" s="352"/>
      <c r="I46" s="352"/>
      <c r="J46" s="352"/>
      <c r="K46" s="351"/>
      <c r="L46" s="353"/>
      <c r="M46" s="263">
        <f>E46</f>
        <v>0</v>
      </c>
      <c r="N46" s="337"/>
      <c r="O46" s="173"/>
      <c r="P46" s="173"/>
      <c r="Q46" s="329"/>
      <c r="R46" s="329"/>
      <c r="S46" s="329"/>
      <c r="T46" s="329"/>
      <c r="U46" s="329"/>
      <c r="V46" s="330"/>
      <c r="W46" s="329"/>
      <c r="X46" s="329"/>
      <c r="Y46" s="329"/>
      <c r="Z46" s="329"/>
      <c r="AA46" s="331"/>
      <c r="AB46" s="331"/>
      <c r="AC46" s="332"/>
      <c r="AD46" s="332"/>
      <c r="AE46" s="332"/>
      <c r="AF46" s="332"/>
      <c r="AG46" s="332"/>
      <c r="AH46" s="332"/>
      <c r="AI46" s="332"/>
      <c r="AJ46" s="332"/>
      <c r="AK46" s="332"/>
      <c r="AL46" s="354"/>
      <c r="AM46" s="300">
        <f t="shared" si="9"/>
        <v>0</v>
      </c>
      <c r="AN46" s="269">
        <f t="shared" si="6"/>
        <v>0</v>
      </c>
      <c r="AO46" s="269">
        <f t="shared" si="2"/>
        <v>0</v>
      </c>
      <c r="AP46" s="270">
        <f>(AM46+AL46+AH46)*0.3+(AG46+AF46+AE46+AD46)*0.6</f>
        <v>0</v>
      </c>
      <c r="AQ46" s="115">
        <f t="shared" si="11"/>
        <v>0</v>
      </c>
      <c r="AR46" s="333"/>
      <c r="AS46" s="355"/>
      <c r="AT46" s="302">
        <f>AD46+AE46+AF46+AH46+AM46</f>
        <v>0</v>
      </c>
      <c r="AU46" s="132">
        <f t="shared" si="4"/>
        <v>0</v>
      </c>
      <c r="AV46" s="257"/>
    </row>
    <row r="47" spans="1:48" s="323" customFormat="1" ht="15" customHeight="1">
      <c r="A47" s="239">
        <v>118</v>
      </c>
      <c r="B47" s="240" t="s">
        <v>341</v>
      </c>
      <c r="C47" s="258" t="s">
        <v>56</v>
      </c>
      <c r="D47" s="259" t="s">
        <v>53</v>
      </c>
      <c r="E47" s="260">
        <v>570</v>
      </c>
      <c r="F47" s="260">
        <v>2500</v>
      </c>
      <c r="G47" s="261">
        <f>E47*0.300304</f>
        <v>171.17328000000001</v>
      </c>
      <c r="H47" s="261">
        <f>F47*0.124048</f>
        <v>310.12</v>
      </c>
      <c r="I47" s="259"/>
      <c r="J47" s="259"/>
      <c r="K47" s="259"/>
      <c r="L47" s="262">
        <f>SUM(G47:K47)</f>
        <v>481.29327999999998</v>
      </c>
      <c r="M47" s="263" t="e">
        <f>#REF!</f>
        <v>#REF!</v>
      </c>
      <c r="N47" s="173" t="e">
        <f>#REF!/#REF!</f>
        <v>#REF!</v>
      </c>
      <c r="O47" s="173" t="e">
        <f>N47*3</f>
        <v>#REF!</v>
      </c>
      <c r="P47" s="173" t="e">
        <f>#REF!-O47</f>
        <v>#REF!</v>
      </c>
      <c r="Q47" s="264"/>
      <c r="R47" s="264"/>
      <c r="S47" s="264"/>
      <c r="T47" s="264"/>
      <c r="U47" s="265" t="e">
        <f>#REF!*0.9227</f>
        <v>#REF!</v>
      </c>
      <c r="V47" s="266"/>
      <c r="W47" s="264"/>
      <c r="X47" s="264"/>
      <c r="Y47" s="264"/>
      <c r="Z47" s="264"/>
      <c r="AA47" s="115">
        <v>2759.5</v>
      </c>
      <c r="AB47" s="267">
        <v>1140</v>
      </c>
      <c r="AC47" s="267"/>
      <c r="AD47" s="556">
        <v>264</v>
      </c>
      <c r="AE47" s="556">
        <f>5*3*8</f>
        <v>120</v>
      </c>
      <c r="AF47" s="557">
        <f>130*3</f>
        <v>390</v>
      </c>
      <c r="AG47" s="557"/>
      <c r="AH47" s="118"/>
      <c r="AI47" s="118"/>
      <c r="AJ47" s="118"/>
      <c r="AK47" s="118"/>
      <c r="AL47" s="557"/>
      <c r="AM47" s="116">
        <f t="shared" si="9"/>
        <v>845.5</v>
      </c>
      <c r="AN47" s="268">
        <f t="shared" si="6"/>
        <v>1619.5</v>
      </c>
      <c r="AO47" s="269">
        <f t="shared" si="2"/>
        <v>1619.5</v>
      </c>
      <c r="AP47" s="270">
        <f>(AM47+AL47)*0.3+(AG47+AF47+AE47+AD47)*0.6</f>
        <v>718.05</v>
      </c>
      <c r="AQ47" s="115">
        <f t="shared" si="11"/>
        <v>1781.95</v>
      </c>
      <c r="AR47" s="267"/>
      <c r="AS47" s="556">
        <f>AM47+AH47</f>
        <v>845.5</v>
      </c>
      <c r="AT47" s="256">
        <f>AD47+AE47+AF47+AS47+AG47+AL47</f>
        <v>1619.5</v>
      </c>
      <c r="AU47" s="132">
        <f t="shared" si="4"/>
        <v>718.05</v>
      </c>
      <c r="AV47" s="257" t="s">
        <v>73</v>
      </c>
    </row>
    <row r="48" spans="1:48" s="134" customFormat="1" ht="15" customHeight="1">
      <c r="A48" s="239">
        <v>119</v>
      </c>
      <c r="B48" s="240" t="s">
        <v>342</v>
      </c>
      <c r="C48" s="258">
        <v>5</v>
      </c>
      <c r="D48" s="259" t="s">
        <v>53</v>
      </c>
      <c r="E48" s="260">
        <v>566</v>
      </c>
      <c r="F48" s="260">
        <v>2576</v>
      </c>
      <c r="G48" s="261">
        <f>E48*0.300304</f>
        <v>169.97206400000002</v>
      </c>
      <c r="H48" s="261">
        <f>F48*0.124048</f>
        <v>319.54764800000004</v>
      </c>
      <c r="I48" s="259"/>
      <c r="J48" s="259"/>
      <c r="K48" s="259"/>
      <c r="L48" s="262">
        <f>SUM(G48:K48)</f>
        <v>489.51971200000003</v>
      </c>
      <c r="M48" s="263"/>
      <c r="N48" s="264"/>
      <c r="O48" s="173"/>
      <c r="P48" s="173"/>
      <c r="Q48" s="264"/>
      <c r="R48" s="264"/>
      <c r="S48" s="271">
        <f>T48-L55</f>
        <v>46.840566400000057</v>
      </c>
      <c r="T48" s="271">
        <f>L55*1.1</f>
        <v>515.24623040000006</v>
      </c>
      <c r="U48" s="265">
        <f>97.81+1648.07</f>
        <v>1745.8799999999999</v>
      </c>
      <c r="V48" s="266">
        <f>U48/L55</f>
        <v>3.7272819997326074</v>
      </c>
      <c r="W48" s="265">
        <f>L55/20*4</f>
        <v>93.6811328</v>
      </c>
      <c r="X48" s="264"/>
      <c r="Y48" s="264"/>
      <c r="Z48" s="264"/>
      <c r="AA48" s="115">
        <v>2880</v>
      </c>
      <c r="AB48" s="267">
        <v>1560</v>
      </c>
      <c r="AC48" s="267"/>
      <c r="AD48" s="556">
        <f>128+11+122</f>
        <v>261</v>
      </c>
      <c r="AE48" s="556">
        <f>3*5*8</f>
        <v>120</v>
      </c>
      <c r="AF48" s="557">
        <f>2*21+12*12.5+2.5*18+70*5</f>
        <v>587</v>
      </c>
      <c r="AG48" s="557"/>
      <c r="AH48" s="116">
        <f>3.2*4.7/2+4*10.5*7</f>
        <v>301.52</v>
      </c>
      <c r="AI48" s="116"/>
      <c r="AJ48" s="116"/>
      <c r="AK48" s="116"/>
      <c r="AL48" s="557">
        <f>16.5*21.5+55*23</f>
        <v>1619.75</v>
      </c>
      <c r="AM48" s="116">
        <f t="shared" si="9"/>
        <v>50.480000000000018</v>
      </c>
      <c r="AN48" s="268">
        <f t="shared" si="6"/>
        <v>1320</v>
      </c>
      <c r="AO48" s="269">
        <f t="shared" si="2"/>
        <v>2939.75</v>
      </c>
      <c r="AP48" s="270">
        <f>(AM48+AL48)*0.3+(AG48+AF48+AE48+AD48)*0.6</f>
        <v>1081.8689999999999</v>
      </c>
      <c r="AQ48" s="115">
        <f t="shared" si="11"/>
        <v>1494.1310000000001</v>
      </c>
      <c r="AR48" s="303">
        <f>AP48*0.138562</f>
        <v>149.90593237799999</v>
      </c>
      <c r="AS48" s="556">
        <f>AM48+AH48</f>
        <v>352</v>
      </c>
      <c r="AT48" s="256">
        <f>AD48+AE48+AF48+AS48+AG48+AL48</f>
        <v>2939.75</v>
      </c>
      <c r="AU48" s="132">
        <f t="shared" si="4"/>
        <v>1172.3249999999998</v>
      </c>
      <c r="AV48" s="257" t="s">
        <v>75</v>
      </c>
    </row>
    <row r="49" spans="1:48" s="134" customFormat="1" ht="15" customHeight="1">
      <c r="A49" s="127">
        <v>40</v>
      </c>
      <c r="B49" s="240" t="s">
        <v>343</v>
      </c>
      <c r="C49" s="258">
        <v>5</v>
      </c>
      <c r="D49" s="259" t="s">
        <v>42</v>
      </c>
      <c r="E49" s="259">
        <v>146</v>
      </c>
      <c r="F49" s="259">
        <v>1767</v>
      </c>
      <c r="G49" s="261">
        <f>E49*0.300304</f>
        <v>43.844384000000005</v>
      </c>
      <c r="H49" s="261">
        <f>F49*0.124048</f>
        <v>219.19281600000002</v>
      </c>
      <c r="I49" s="261"/>
      <c r="J49" s="261"/>
      <c r="K49" s="259">
        <v>25</v>
      </c>
      <c r="L49" s="262">
        <f>SUM(G49:K49)</f>
        <v>288.03720000000004</v>
      </c>
      <c r="M49" s="356"/>
      <c r="N49" s="264" t="s">
        <v>344</v>
      </c>
      <c r="O49" s="264">
        <v>14116</v>
      </c>
      <c r="P49" s="173">
        <v>10883</v>
      </c>
      <c r="Q49" s="174"/>
      <c r="R49" s="174"/>
      <c r="S49" s="174"/>
      <c r="T49" s="174"/>
      <c r="U49" s="175" t="e">
        <f>U46+U40+U34+U32+U28+U27+U23+U21+U12+U10+U5+#REF!+#REF!+#REF!+#REF!+#REF!+#REF!+#REF!+#REF!+#REF!+#REF!+#REF!+#REF!+#REF!+#REF!+#REF!+#REF!+#REF!+#REF!+#REF!+#REF!+#REF!+#REF!+#REF!+#REF!+#REF!+#REF!+#REF!+#REF!+#REF!+#REF!+#REF!+#REF!+#REF!+#REF!+#REF!+#REF!+#REF!</f>
        <v>#REF!</v>
      </c>
      <c r="V49" s="176"/>
      <c r="W49" s="174"/>
      <c r="X49" s="174"/>
      <c r="Y49" s="174"/>
      <c r="Z49" s="174"/>
      <c r="AA49" s="312">
        <v>3037</v>
      </c>
      <c r="AB49" s="357">
        <v>559</v>
      </c>
      <c r="AC49" s="357" t="s">
        <v>46</v>
      </c>
      <c r="AD49" s="558">
        <v>94</v>
      </c>
      <c r="AE49" s="558">
        <f>5.5*3*2</f>
        <v>33</v>
      </c>
      <c r="AF49" s="559">
        <f>13*12.5+6*40</f>
        <v>402.5</v>
      </c>
      <c r="AG49" s="559"/>
      <c r="AH49" s="324">
        <f>9.5*4+11*4</f>
        <v>82</v>
      </c>
      <c r="AI49" s="324"/>
      <c r="AJ49" s="324"/>
      <c r="AK49" s="324"/>
      <c r="AL49" s="559"/>
      <c r="AM49" s="116">
        <f t="shared" si="9"/>
        <v>1866.5</v>
      </c>
      <c r="AN49" s="268">
        <f t="shared" si="6"/>
        <v>2478</v>
      </c>
      <c r="AO49" s="269">
        <f t="shared" si="2"/>
        <v>2478</v>
      </c>
      <c r="AP49" s="270">
        <f>(AM49+AL49)*0.3+(AG49+AF49+AE49+AD49)*0.6</f>
        <v>877.64999999999986</v>
      </c>
      <c r="AQ49" s="115">
        <f t="shared" si="11"/>
        <v>889.35000000000014</v>
      </c>
      <c r="AR49" s="303">
        <f>AP49*0.138562</f>
        <v>121.60893929999997</v>
      </c>
      <c r="AS49" s="556">
        <f>AM49+AH49</f>
        <v>1948.5</v>
      </c>
      <c r="AT49" s="256">
        <f>AD49+AE49+AF49+AS49+AG49+AL49</f>
        <v>2478</v>
      </c>
      <c r="AU49" s="132">
        <f t="shared" si="4"/>
        <v>902.25</v>
      </c>
      <c r="AV49" s="257" t="s">
        <v>76</v>
      </c>
    </row>
    <row r="50" spans="1:48" s="134" customFormat="1" ht="11.25" customHeight="1" thickBot="1">
      <c r="A50" s="135"/>
      <c r="B50" s="275" t="s">
        <v>320</v>
      </c>
      <c r="C50" s="326"/>
      <c r="D50" s="326"/>
      <c r="E50" s="276">
        <f>E47+E48+E49</f>
        <v>1282</v>
      </c>
      <c r="F50" s="276">
        <f>F47+F48+F49</f>
        <v>6843</v>
      </c>
      <c r="G50" s="277">
        <f>G47+G48+G49</f>
        <v>384.98972800000001</v>
      </c>
      <c r="H50" s="277">
        <f>H47+H48+H49</f>
        <v>848.86046400000009</v>
      </c>
      <c r="I50" s="277"/>
      <c r="J50" s="277"/>
      <c r="K50" s="276"/>
      <c r="L50" s="278">
        <f>L47+L48+L49</f>
        <v>1258.8501920000001</v>
      </c>
      <c r="M50" s="263"/>
      <c r="N50" s="172"/>
      <c r="O50" s="173"/>
      <c r="P50" s="173"/>
      <c r="Q50" s="271"/>
      <c r="R50" s="271"/>
      <c r="S50" s="271">
        <f>T50-L50</f>
        <v>125.88501920000022</v>
      </c>
      <c r="T50" s="271">
        <f>L50*1.1</f>
        <v>1384.7352112000003</v>
      </c>
      <c r="U50" s="265">
        <v>1036.58</v>
      </c>
      <c r="V50" s="266">
        <f>U50/L50</f>
        <v>0.82343396107612454</v>
      </c>
      <c r="W50" s="271"/>
      <c r="X50" s="271"/>
      <c r="Y50" s="271"/>
      <c r="Z50" s="271"/>
      <c r="AA50" s="304"/>
      <c r="AB50" s="304"/>
      <c r="AC50" s="305"/>
      <c r="AD50" s="305"/>
      <c r="AE50" s="305"/>
      <c r="AF50" s="305"/>
      <c r="AG50" s="305"/>
      <c r="AH50" s="305"/>
      <c r="AI50" s="305"/>
      <c r="AJ50" s="305"/>
      <c r="AK50" s="305"/>
      <c r="AL50" s="307"/>
      <c r="AM50" s="300">
        <f t="shared" si="9"/>
        <v>0</v>
      </c>
      <c r="AN50" s="269">
        <f t="shared" si="6"/>
        <v>0</v>
      </c>
      <c r="AO50" s="269">
        <f t="shared" si="2"/>
        <v>0</v>
      </c>
      <c r="AP50" s="270">
        <f>(AM50+AL50+AH50)*0.3+(AG50+AF50+AE50+AD50)*0.6</f>
        <v>0</v>
      </c>
      <c r="AQ50" s="115"/>
      <c r="AR50" s="303"/>
      <c r="AS50" s="308"/>
      <c r="AT50" s="302">
        <f>AD50+AE50+AF50+AH50+AM50</f>
        <v>0</v>
      </c>
      <c r="AU50" s="132">
        <f t="shared" si="4"/>
        <v>0</v>
      </c>
      <c r="AV50" s="257"/>
    </row>
    <row r="51" spans="1:48" s="134" customFormat="1" ht="15.75" customHeight="1">
      <c r="A51" s="135"/>
      <c r="B51" s="309" t="s">
        <v>345</v>
      </c>
      <c r="C51" s="319"/>
      <c r="D51" s="319"/>
      <c r="E51" s="319"/>
      <c r="F51" s="319"/>
      <c r="G51" s="320"/>
      <c r="H51" s="320"/>
      <c r="I51" s="320"/>
      <c r="J51" s="320"/>
      <c r="K51" s="319"/>
      <c r="L51" s="310"/>
      <c r="M51" s="263">
        <f>E51</f>
        <v>0</v>
      </c>
      <c r="N51" s="172"/>
      <c r="O51" s="173"/>
      <c r="P51" s="173"/>
      <c r="Q51" s="271"/>
      <c r="R51" s="271"/>
      <c r="S51" s="271"/>
      <c r="T51" s="271"/>
      <c r="U51" s="265"/>
      <c r="V51" s="266"/>
      <c r="W51" s="271"/>
      <c r="X51" s="271"/>
      <c r="Y51" s="271"/>
      <c r="Z51" s="271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21"/>
      <c r="AM51" s="269">
        <f t="shared" si="9"/>
        <v>0</v>
      </c>
      <c r="AN51" s="269">
        <f t="shared" si="6"/>
        <v>0</v>
      </c>
      <c r="AO51" s="269">
        <f t="shared" ref="AO51:AO82" si="12">AD51+AE51+AF51+AG51+AH51+AL51+AM51</f>
        <v>0</v>
      </c>
      <c r="AP51" s="270">
        <f>(AM51+AL51+AH51)*0.3+(AG51+AF51+AE51+AD51)*0.6</f>
        <v>0</v>
      </c>
      <c r="AQ51" s="115">
        <f>F51-AP51</f>
        <v>0</v>
      </c>
      <c r="AR51" s="303"/>
      <c r="AS51" s="322"/>
      <c r="AT51" s="316">
        <f>AD51+AE51+AF51+AH51+AM51</f>
        <v>0</v>
      </c>
      <c r="AU51" s="132">
        <f t="shared" si="4"/>
        <v>0</v>
      </c>
      <c r="AV51" s="257"/>
    </row>
    <row r="52" spans="1:48" s="134" customFormat="1" ht="15" customHeight="1">
      <c r="A52" s="239">
        <v>60</v>
      </c>
      <c r="B52" s="240" t="s">
        <v>346</v>
      </c>
      <c r="C52" s="258">
        <v>5</v>
      </c>
      <c r="D52" s="259">
        <v>4</v>
      </c>
      <c r="E52" s="259">
        <v>281</v>
      </c>
      <c r="F52" s="259">
        <v>1890</v>
      </c>
      <c r="G52" s="261">
        <f>E52*0.300304</f>
        <v>84.385424</v>
      </c>
      <c r="H52" s="261">
        <f>F52*0.124048</f>
        <v>234.45072000000002</v>
      </c>
      <c r="I52" s="261"/>
      <c r="J52" s="261"/>
      <c r="K52" s="259"/>
      <c r="L52" s="262">
        <f>SUM(G52:K52)</f>
        <v>318.83614399999999</v>
      </c>
      <c r="M52" s="263">
        <f>E59</f>
        <v>440</v>
      </c>
      <c r="N52" s="173">
        <f>E59/C59</f>
        <v>88</v>
      </c>
      <c r="O52" s="173">
        <f>N52*3</f>
        <v>264</v>
      </c>
      <c r="P52" s="173">
        <f>E59-O52</f>
        <v>176</v>
      </c>
      <c r="Q52" s="264"/>
      <c r="R52" s="264"/>
      <c r="S52" s="264"/>
      <c r="T52" s="264"/>
      <c r="U52" s="265">
        <f>1.785*L59</f>
        <v>834.04796160000001</v>
      </c>
      <c r="V52" s="266"/>
      <c r="W52" s="264"/>
      <c r="X52" s="264"/>
      <c r="Y52" s="264"/>
      <c r="Z52" s="264"/>
      <c r="AA52" s="115">
        <v>3241.2</v>
      </c>
      <c r="AB52" s="267">
        <v>660</v>
      </c>
      <c r="AC52" s="357" t="s">
        <v>47</v>
      </c>
      <c r="AD52" s="556">
        <v>134</v>
      </c>
      <c r="AE52" s="556">
        <f>3.5*5*4</f>
        <v>70</v>
      </c>
      <c r="AF52" s="557">
        <f>75.25+6*10+4*4</f>
        <v>151.25</v>
      </c>
      <c r="AG52" s="557"/>
      <c r="AH52" s="118">
        <f>11*4*3+2*4.5</f>
        <v>141</v>
      </c>
      <c r="AI52" s="118"/>
      <c r="AJ52" s="118"/>
      <c r="AK52" s="118"/>
      <c r="AL52" s="557"/>
      <c r="AM52" s="116">
        <f t="shared" si="9"/>
        <v>2084.9499999999998</v>
      </c>
      <c r="AN52" s="268">
        <f t="shared" si="6"/>
        <v>2581.1999999999998</v>
      </c>
      <c r="AO52" s="269">
        <f t="shared" si="12"/>
        <v>2581.1999999999998</v>
      </c>
      <c r="AP52" s="270">
        <f>(AM52+AL52)*0.3+(AG52+AF52+AE52+AD52)*0.6</f>
        <v>838.63499999999988</v>
      </c>
      <c r="AQ52" s="115">
        <f>F52-AP52</f>
        <v>1051.3650000000002</v>
      </c>
      <c r="AR52" s="303">
        <f>AP52*0.138562</f>
        <v>116.20294286999997</v>
      </c>
      <c r="AS52" s="556">
        <f>AM52+AH52</f>
        <v>2225.9499999999998</v>
      </c>
      <c r="AT52" s="256">
        <f>AD52+AE52+AF52+AS52+AG52+AL52</f>
        <v>2581.1999999999998</v>
      </c>
      <c r="AU52" s="132">
        <f t="shared" si="4"/>
        <v>880.93499999999995</v>
      </c>
      <c r="AV52" s="257" t="s">
        <v>77</v>
      </c>
    </row>
    <row r="53" spans="1:48" s="134" customFormat="1" ht="15" customHeight="1">
      <c r="A53" s="239">
        <v>60</v>
      </c>
      <c r="B53" s="240" t="s">
        <v>347</v>
      </c>
      <c r="C53" s="258">
        <v>5</v>
      </c>
      <c r="D53" s="259">
        <v>2</v>
      </c>
      <c r="E53" s="259">
        <f>270/2</f>
        <v>135</v>
      </c>
      <c r="F53" s="259">
        <f>1900/2</f>
        <v>950</v>
      </c>
      <c r="G53" s="261">
        <f>E53*0.300304</f>
        <v>40.541040000000002</v>
      </c>
      <c r="H53" s="261">
        <f>F53*0.124048</f>
        <v>117.8456</v>
      </c>
      <c r="I53" s="261"/>
      <c r="J53" s="261"/>
      <c r="K53" s="259"/>
      <c r="L53" s="262">
        <f>SUM(G53:K53)</f>
        <v>158.38664</v>
      </c>
      <c r="M53" s="263">
        <f>E60</f>
        <v>1243</v>
      </c>
      <c r="N53" s="173">
        <f>E60/C60</f>
        <v>138.11111111111111</v>
      </c>
      <c r="O53" s="173">
        <f>N53*3</f>
        <v>414.33333333333337</v>
      </c>
      <c r="P53" s="173">
        <f>E60-O53</f>
        <v>828.66666666666663</v>
      </c>
      <c r="Q53" s="264"/>
      <c r="R53" s="264"/>
      <c r="S53" s="264"/>
      <c r="T53" s="264"/>
      <c r="U53" s="265">
        <f>1.066*L60</f>
        <v>1367.7188832320001</v>
      </c>
      <c r="V53" s="266"/>
      <c r="W53" s="264"/>
      <c r="X53" s="264"/>
      <c r="Y53" s="264"/>
      <c r="Z53" s="264"/>
      <c r="AA53" s="115">
        <f>2564/2</f>
        <v>1282</v>
      </c>
      <c r="AB53" s="267">
        <f>741/2</f>
        <v>370.5</v>
      </c>
      <c r="AC53" s="357" t="s">
        <v>48</v>
      </c>
      <c r="AD53" s="556">
        <f>68*2/2</f>
        <v>68</v>
      </c>
      <c r="AE53" s="556">
        <f>5*5.3*4/2</f>
        <v>53</v>
      </c>
      <c r="AF53" s="557">
        <f>3.5*57/2</f>
        <v>99.75</v>
      </c>
      <c r="AG53" s="557"/>
      <c r="AH53" s="118">
        <f>(5*15+6*5+11*3.3*2)/2</f>
        <v>88.8</v>
      </c>
      <c r="AI53" s="118"/>
      <c r="AJ53" s="118"/>
      <c r="AK53" s="118"/>
      <c r="AL53" s="557"/>
      <c r="AM53" s="116">
        <f t="shared" si="9"/>
        <v>601.95000000000005</v>
      </c>
      <c r="AN53" s="268">
        <f t="shared" si="6"/>
        <v>911.5</v>
      </c>
      <c r="AO53" s="269">
        <f t="shared" si="12"/>
        <v>911.5</v>
      </c>
      <c r="AP53" s="270">
        <f>(AM53+AL53)*0.3+(AG53+AF53+AE53+AD53)*0.6</f>
        <v>313.03499999999997</v>
      </c>
      <c r="AQ53" s="115">
        <f>F53-AP53</f>
        <v>636.96500000000003</v>
      </c>
      <c r="AR53" s="303">
        <f>AP53*0.138562</f>
        <v>43.374755669999992</v>
      </c>
      <c r="AS53" s="556">
        <f>AM53+AH53</f>
        <v>690.75</v>
      </c>
      <c r="AT53" s="256">
        <f>AD53+AE53+AF53+AS53+AG53+AL53</f>
        <v>911.5</v>
      </c>
      <c r="AU53" s="132">
        <f t="shared" si="4"/>
        <v>339.67499999999995</v>
      </c>
      <c r="AV53" s="257" t="s">
        <v>78</v>
      </c>
    </row>
    <row r="54" spans="1:48" s="134" customFormat="1" ht="15" customHeight="1">
      <c r="A54" s="127">
        <v>60</v>
      </c>
      <c r="B54" s="240" t="s">
        <v>347</v>
      </c>
      <c r="C54" s="258">
        <v>5</v>
      </c>
      <c r="D54" s="259">
        <v>2</v>
      </c>
      <c r="E54" s="259">
        <f>270/2</f>
        <v>135</v>
      </c>
      <c r="F54" s="259">
        <f>1900/2</f>
        <v>950</v>
      </c>
      <c r="G54" s="261">
        <f>E54*0.300304</f>
        <v>40.541040000000002</v>
      </c>
      <c r="H54" s="261">
        <f>F54*0.124048</f>
        <v>117.8456</v>
      </c>
      <c r="I54" s="261"/>
      <c r="J54" s="261"/>
      <c r="K54" s="259"/>
      <c r="L54" s="262">
        <f>SUM(G54:K54)</f>
        <v>158.38664</v>
      </c>
      <c r="M54" s="356"/>
      <c r="N54" s="264"/>
      <c r="O54" s="264"/>
      <c r="P54" s="173"/>
      <c r="Q54" s="174"/>
      <c r="R54" s="174"/>
      <c r="S54" s="174"/>
      <c r="T54" s="174"/>
      <c r="U54" s="175"/>
      <c r="V54" s="176"/>
      <c r="W54" s="174"/>
      <c r="X54" s="174"/>
      <c r="Y54" s="174"/>
      <c r="Z54" s="174"/>
      <c r="AA54" s="115">
        <f>2564/2</f>
        <v>1282</v>
      </c>
      <c r="AB54" s="267">
        <f>741/2</f>
        <v>370.5</v>
      </c>
      <c r="AC54" s="357" t="s">
        <v>48</v>
      </c>
      <c r="AD54" s="119">
        <f>68*2/2</f>
        <v>68</v>
      </c>
      <c r="AE54" s="119">
        <f>5*5.3*4/2</f>
        <v>53</v>
      </c>
      <c r="AF54" s="120">
        <f>3.5*57/2</f>
        <v>99.75</v>
      </c>
      <c r="AG54" s="120"/>
      <c r="AH54" s="118">
        <f>(5*15+6*5+11*3.3*2)/2</f>
        <v>88.8</v>
      </c>
      <c r="AI54" s="118"/>
      <c r="AJ54" s="118"/>
      <c r="AK54" s="118"/>
      <c r="AL54" s="120"/>
      <c r="AM54" s="116">
        <f t="shared" si="9"/>
        <v>601.95000000000005</v>
      </c>
      <c r="AN54" s="268">
        <f t="shared" si="6"/>
        <v>911.5</v>
      </c>
      <c r="AO54" s="269">
        <f t="shared" si="12"/>
        <v>911.5</v>
      </c>
      <c r="AP54" s="270">
        <f>(AM54+AL54)*0.3+(AG54+AF54+AE54+AD54)*0.6</f>
        <v>313.03499999999997</v>
      </c>
      <c r="AQ54" s="115">
        <f>F54-AP54</f>
        <v>636.96500000000003</v>
      </c>
      <c r="AR54" s="303">
        <f>AP54*0.138562</f>
        <v>43.374755669999992</v>
      </c>
      <c r="AS54" s="119">
        <f>AM54+AH54</f>
        <v>690.75</v>
      </c>
      <c r="AT54" s="256">
        <f>AD54+AE54+AF54+AS54+AG54+AL54</f>
        <v>911.5</v>
      </c>
      <c r="AU54" s="132">
        <f t="shared" si="4"/>
        <v>339.67499999999995</v>
      </c>
      <c r="AV54" s="257"/>
    </row>
    <row r="55" spans="1:48" s="134" customFormat="1" ht="15" customHeight="1">
      <c r="A55" s="239">
        <v>72</v>
      </c>
      <c r="B55" s="240" t="s">
        <v>348</v>
      </c>
      <c r="C55" s="258">
        <v>9</v>
      </c>
      <c r="D55" s="259">
        <v>2</v>
      </c>
      <c r="E55" s="259">
        <v>538</v>
      </c>
      <c r="F55" s="259">
        <v>1794</v>
      </c>
      <c r="G55" s="261">
        <f>E55*0.300304</f>
        <v>161.56355200000002</v>
      </c>
      <c r="H55" s="261">
        <f>F55*0.124048</f>
        <v>222.542112</v>
      </c>
      <c r="I55" s="261">
        <f>40.2*D55</f>
        <v>80.400000000000006</v>
      </c>
      <c r="J55" s="261">
        <f>1.95*D55</f>
        <v>3.9</v>
      </c>
      <c r="K55" s="259"/>
      <c r="L55" s="262">
        <f>SUM(G55:K55)</f>
        <v>468.405664</v>
      </c>
      <c r="M55" s="263">
        <f>E66</f>
        <v>272</v>
      </c>
      <c r="N55" s="264"/>
      <c r="O55" s="173"/>
      <c r="P55" s="173"/>
      <c r="Q55" s="264"/>
      <c r="R55" s="264"/>
      <c r="S55" s="264">
        <f>L61*1.08</f>
        <v>427.87262016000005</v>
      </c>
      <c r="T55" s="264">
        <f>S55-L61</f>
        <v>31.694268160000036</v>
      </c>
      <c r="U55" s="265"/>
      <c r="V55" s="266"/>
      <c r="W55" s="264"/>
      <c r="X55" s="264"/>
      <c r="Y55" s="264"/>
      <c r="Z55" s="264"/>
      <c r="AA55" s="117">
        <v>3287.5</v>
      </c>
      <c r="AB55" s="340">
        <v>552</v>
      </c>
      <c r="AC55" s="357" t="s">
        <v>49</v>
      </c>
      <c r="AD55" s="556">
        <v>128</v>
      </c>
      <c r="AE55" s="556">
        <f>5*9+5.5*5</f>
        <v>72.5</v>
      </c>
      <c r="AF55" s="557">
        <f>12*12+76*3.5+6*6+8*5</f>
        <v>486</v>
      </c>
      <c r="AG55" s="557"/>
      <c r="AH55" s="116">
        <f>6*13/2</f>
        <v>39</v>
      </c>
      <c r="AI55" s="116"/>
      <c r="AJ55" s="116"/>
      <c r="AK55" s="116"/>
      <c r="AL55" s="557"/>
      <c r="AM55" s="116">
        <f t="shared" si="9"/>
        <v>2010</v>
      </c>
      <c r="AN55" s="268">
        <f t="shared" si="6"/>
        <v>2735.5</v>
      </c>
      <c r="AO55" s="269">
        <f t="shared" si="12"/>
        <v>2735.5</v>
      </c>
      <c r="AP55" s="270">
        <f>(AM55+AL55)*0.3+(AG55+AF55+AE55+AD55)*0.6</f>
        <v>1014.9</v>
      </c>
      <c r="AQ55" s="115">
        <f>F55-AP55</f>
        <v>779.1</v>
      </c>
      <c r="AR55" s="303">
        <f>AP55*0.138562</f>
        <v>140.62657379999999</v>
      </c>
      <c r="AS55" s="556">
        <f>AM55+AH55</f>
        <v>2049</v>
      </c>
      <c r="AT55" s="256">
        <f>AD55+AE55+AF55+AS55+AG55+AL55</f>
        <v>2735.5</v>
      </c>
      <c r="AU55" s="132">
        <f t="shared" si="4"/>
        <v>1026.5999999999999</v>
      </c>
      <c r="AV55" s="257" t="s">
        <v>79</v>
      </c>
    </row>
    <row r="56" spans="1:48" s="134" customFormat="1" ht="9.75" customHeight="1" thickBot="1">
      <c r="A56" s="135"/>
      <c r="B56" s="275" t="s">
        <v>320</v>
      </c>
      <c r="C56" s="277"/>
      <c r="D56" s="277"/>
      <c r="E56" s="276">
        <f>SUM(E52:E55)</f>
        <v>1089</v>
      </c>
      <c r="F56" s="276">
        <f>SUM(F52:F55)</f>
        <v>5584</v>
      </c>
      <c r="G56" s="277">
        <f>SUM(G52:G55)</f>
        <v>327.03105600000004</v>
      </c>
      <c r="H56" s="277">
        <f>SUM(H52:H55)</f>
        <v>692.684032</v>
      </c>
      <c r="I56" s="277"/>
      <c r="J56" s="277"/>
      <c r="K56" s="276"/>
      <c r="L56" s="278">
        <f>SUM(L52:L55)</f>
        <v>1104.0150880000001</v>
      </c>
      <c r="M56" s="263"/>
      <c r="N56" s="172"/>
      <c r="O56" s="173"/>
      <c r="P56" s="173"/>
      <c r="Q56" s="271"/>
      <c r="R56" s="271"/>
      <c r="S56" s="271">
        <f>T56-L56</f>
        <v>0.3649120000000039</v>
      </c>
      <c r="T56" s="271">
        <f>U56-M56</f>
        <v>1104.3800000000001</v>
      </c>
      <c r="U56" s="265">
        <v>1104.3800000000001</v>
      </c>
      <c r="V56" s="266">
        <f>U56/L56</f>
        <v>1.0003305317146174</v>
      </c>
      <c r="W56" s="271"/>
      <c r="X56" s="271"/>
      <c r="Y56" s="271"/>
      <c r="Z56" s="271"/>
      <c r="AA56" s="304"/>
      <c r="AB56" s="304"/>
      <c r="AC56" s="305"/>
      <c r="AD56" s="305"/>
      <c r="AE56" s="305"/>
      <c r="AF56" s="305"/>
      <c r="AG56" s="305"/>
      <c r="AH56" s="305"/>
      <c r="AI56" s="305"/>
      <c r="AJ56" s="305"/>
      <c r="AK56" s="305"/>
      <c r="AL56" s="307"/>
      <c r="AM56" s="300">
        <f t="shared" si="9"/>
        <v>0</v>
      </c>
      <c r="AN56" s="269">
        <f t="shared" si="6"/>
        <v>0</v>
      </c>
      <c r="AO56" s="269">
        <f t="shared" si="12"/>
        <v>0</v>
      </c>
      <c r="AP56" s="270">
        <f>(AM56+AL56+AH56)*0.3+(AG56+AF56+AE56+AD56)*0.6</f>
        <v>0</v>
      </c>
      <c r="AQ56" s="115"/>
      <c r="AR56" s="358"/>
      <c r="AS56" s="359"/>
      <c r="AT56" s="302">
        <f>AD56+AE56+AF56+AH56+AM56</f>
        <v>0</v>
      </c>
      <c r="AU56" s="132">
        <f t="shared" si="4"/>
        <v>0</v>
      </c>
      <c r="AV56" s="257"/>
    </row>
    <row r="57" spans="1:48" s="134" customFormat="1" ht="15.75" customHeight="1">
      <c r="A57" s="135"/>
      <c r="B57" s="309" t="s">
        <v>349</v>
      </c>
      <c r="C57" s="320"/>
      <c r="D57" s="320"/>
      <c r="E57" s="320"/>
      <c r="F57" s="320"/>
      <c r="G57" s="320"/>
      <c r="H57" s="320"/>
      <c r="I57" s="320"/>
      <c r="J57" s="320"/>
      <c r="K57" s="319"/>
      <c r="L57" s="310"/>
      <c r="M57" s="263">
        <f>E57</f>
        <v>0</v>
      </c>
      <c r="N57" s="172"/>
      <c r="O57" s="173"/>
      <c r="P57" s="173"/>
      <c r="Q57" s="271"/>
      <c r="R57" s="271"/>
      <c r="S57" s="271"/>
      <c r="T57" s="271"/>
      <c r="U57" s="265"/>
      <c r="V57" s="266"/>
      <c r="W57" s="271"/>
      <c r="X57" s="271"/>
      <c r="Y57" s="271"/>
      <c r="Z57" s="271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21"/>
      <c r="AM57" s="269">
        <f t="shared" si="9"/>
        <v>0</v>
      </c>
      <c r="AN57" s="269">
        <f t="shared" si="6"/>
        <v>0</v>
      </c>
      <c r="AO57" s="269">
        <f t="shared" si="12"/>
        <v>0</v>
      </c>
      <c r="AP57" s="270">
        <f>(AM57+AL57+AH57)*0.3+(AG57+AF57+AE57+AD57)*0.6</f>
        <v>0</v>
      </c>
      <c r="AQ57" s="115">
        <f>F57-AP57</f>
        <v>0</v>
      </c>
      <c r="AR57" s="303"/>
      <c r="AS57" s="322"/>
      <c r="AT57" s="316">
        <f>AD57+AE57+AF57+AH57+AM57</f>
        <v>0</v>
      </c>
      <c r="AU57" s="132">
        <f t="shared" si="4"/>
        <v>0</v>
      </c>
      <c r="AV57" s="257"/>
    </row>
    <row r="58" spans="1:48" s="134" customFormat="1" ht="15" customHeight="1">
      <c r="A58" s="239">
        <v>119</v>
      </c>
      <c r="B58" s="240" t="s">
        <v>350</v>
      </c>
      <c r="C58" s="258">
        <v>5</v>
      </c>
      <c r="D58" s="259">
        <v>8</v>
      </c>
      <c r="E58" s="260">
        <v>566</v>
      </c>
      <c r="F58" s="260">
        <v>2174</v>
      </c>
      <c r="G58" s="261">
        <f>E58*0.300304</f>
        <v>169.97206400000002</v>
      </c>
      <c r="H58" s="261">
        <f>F58*0.124048</f>
        <v>269.68035200000003</v>
      </c>
      <c r="I58" s="259"/>
      <c r="J58" s="259"/>
      <c r="K58" s="259">
        <v>25</v>
      </c>
      <c r="L58" s="262">
        <f>SUM(G58:K58)</f>
        <v>464.65241600000002</v>
      </c>
      <c r="M58" s="263">
        <f>E65</f>
        <v>500</v>
      </c>
      <c r="N58" s="264"/>
      <c r="O58" s="173"/>
      <c r="P58" s="173"/>
      <c r="Q58" s="264"/>
      <c r="R58" s="264"/>
      <c r="S58" s="264"/>
      <c r="T58" s="264"/>
      <c r="U58" s="265"/>
      <c r="V58" s="266"/>
      <c r="W58" s="264"/>
      <c r="X58" s="264"/>
      <c r="Y58" s="264"/>
      <c r="Z58" s="264"/>
      <c r="AA58" s="115">
        <v>4062.86</v>
      </c>
      <c r="AB58" s="267">
        <v>1440</v>
      </c>
      <c r="AC58" s="357" t="s">
        <v>50</v>
      </c>
      <c r="AD58" s="556">
        <f>235+12*2</f>
        <v>259</v>
      </c>
      <c r="AE58" s="556">
        <f>3*6*8+6*6</f>
        <v>180</v>
      </c>
      <c r="AF58" s="557">
        <f>9*6+4.5*150+9*5/2</f>
        <v>751.5</v>
      </c>
      <c r="AG58" s="557"/>
      <c r="AH58" s="116">
        <f>5.5*1</f>
        <v>5.5</v>
      </c>
      <c r="AI58" s="116"/>
      <c r="AJ58" s="116"/>
      <c r="AK58" s="116"/>
      <c r="AL58" s="557">
        <f>10*13+5*13</f>
        <v>195</v>
      </c>
      <c r="AM58" s="116">
        <f t="shared" si="9"/>
        <v>1426.8600000000001</v>
      </c>
      <c r="AN58" s="268">
        <f t="shared" si="6"/>
        <v>2622.86</v>
      </c>
      <c r="AO58" s="269">
        <f t="shared" si="12"/>
        <v>2817.86</v>
      </c>
      <c r="AP58" s="270">
        <f>(AM58+AL58)*0.3+(AG58+AF58+AE58+AD58)*0.6</f>
        <v>1200.8579999999999</v>
      </c>
      <c r="AQ58" s="115">
        <f>F58-AP58</f>
        <v>973.14200000000005</v>
      </c>
      <c r="AR58" s="303">
        <f>AP58*0.138562</f>
        <v>166.39328619599999</v>
      </c>
      <c r="AS58" s="556">
        <f>AM58+AH58</f>
        <v>1432.3600000000001</v>
      </c>
      <c r="AT58" s="256">
        <f>AD58+AE58+AF58+AS58+AG58+AL58</f>
        <v>2817.86</v>
      </c>
      <c r="AU58" s="132">
        <f t="shared" si="4"/>
        <v>1202.508</v>
      </c>
      <c r="AV58" s="257" t="s">
        <v>80</v>
      </c>
    </row>
    <row r="59" spans="1:48" s="134" customFormat="1" ht="15" customHeight="1">
      <c r="A59" s="239">
        <v>90</v>
      </c>
      <c r="B59" s="240" t="s">
        <v>351</v>
      </c>
      <c r="C59" s="258">
        <v>5</v>
      </c>
      <c r="D59" s="259">
        <v>6</v>
      </c>
      <c r="E59" s="259">
        <v>440</v>
      </c>
      <c r="F59" s="259">
        <v>2500</v>
      </c>
      <c r="G59" s="261">
        <f>E59*0.300304</f>
        <v>132.13376</v>
      </c>
      <c r="H59" s="261">
        <f>F59*0.124048</f>
        <v>310.12</v>
      </c>
      <c r="I59" s="261"/>
      <c r="J59" s="261"/>
      <c r="K59" s="259">
        <v>25</v>
      </c>
      <c r="L59" s="262">
        <f>SUM(G59:K59)</f>
        <v>467.25376</v>
      </c>
      <c r="M59" s="263">
        <f>E66</f>
        <v>272</v>
      </c>
      <c r="N59" s="173">
        <f>E66/C66</f>
        <v>54.4</v>
      </c>
      <c r="O59" s="173">
        <f>N59*3</f>
        <v>163.19999999999999</v>
      </c>
      <c r="P59" s="173">
        <f>E66-O59</f>
        <v>108.80000000000001</v>
      </c>
      <c r="Q59" s="264"/>
      <c r="R59" s="264"/>
      <c r="S59" s="264"/>
      <c r="T59" s="264"/>
      <c r="U59" s="265">
        <f>1.066*L66</f>
        <v>318.48528940800003</v>
      </c>
      <c r="V59" s="266"/>
      <c r="W59" s="264"/>
      <c r="X59" s="264"/>
      <c r="Y59" s="264"/>
      <c r="Z59" s="264"/>
      <c r="AA59" s="115">
        <v>2404</v>
      </c>
      <c r="AB59" s="267">
        <v>1092</v>
      </c>
      <c r="AC59" s="357" t="s">
        <v>51</v>
      </c>
      <c r="AD59" s="556">
        <v>191</v>
      </c>
      <c r="AE59" s="556">
        <f>5*2.8*8</f>
        <v>112</v>
      </c>
      <c r="AF59" s="557">
        <f>11*11/2+4*92+9.5*11</f>
        <v>533</v>
      </c>
      <c r="AG59" s="557">
        <v>25</v>
      </c>
      <c r="AH59" s="118">
        <f>6*3.5*2+10.7*3.5*3</f>
        <v>154.35</v>
      </c>
      <c r="AI59" s="118"/>
      <c r="AJ59" s="118"/>
      <c r="AK59" s="118"/>
      <c r="AL59" s="557">
        <f>91*9</f>
        <v>819</v>
      </c>
      <c r="AM59" s="116">
        <f t="shared" si="9"/>
        <v>321.64999999999998</v>
      </c>
      <c r="AN59" s="268">
        <f t="shared" si="6"/>
        <v>1312</v>
      </c>
      <c r="AO59" s="269">
        <f t="shared" si="12"/>
        <v>2156</v>
      </c>
      <c r="AP59" s="270">
        <f>(AM59+AL59)*0.3+(AG59+AF59+AE59+AD59)*0.6</f>
        <v>858.79500000000007</v>
      </c>
      <c r="AQ59" s="115">
        <f>F59-AP59</f>
        <v>1641.2049999999999</v>
      </c>
      <c r="AR59" s="303">
        <f>AP59*0.138562</f>
        <v>118.99635279</v>
      </c>
      <c r="AS59" s="556">
        <f>AM59+AH59</f>
        <v>476</v>
      </c>
      <c r="AT59" s="256">
        <f>AD59+AE59+AF59+AS59+AG59+AL59</f>
        <v>2156</v>
      </c>
      <c r="AU59" s="132">
        <f t="shared" si="4"/>
        <v>905.1</v>
      </c>
      <c r="AV59" s="257" t="s">
        <v>81</v>
      </c>
    </row>
    <row r="60" spans="1:48" s="134" customFormat="1" ht="15" customHeight="1">
      <c r="A60" s="360">
        <f>287/2</f>
        <v>143.5</v>
      </c>
      <c r="B60" s="240" t="s">
        <v>352</v>
      </c>
      <c r="C60" s="361" t="s">
        <v>336</v>
      </c>
      <c r="D60" s="362">
        <v>5</v>
      </c>
      <c r="E60" s="362">
        <f>497+746</f>
        <v>1243</v>
      </c>
      <c r="F60" s="362">
        <f>2254+3381</f>
        <v>5635</v>
      </c>
      <c r="G60" s="363">
        <f>E60*0.300304</f>
        <v>373.277872</v>
      </c>
      <c r="H60" s="363">
        <f>F60*0.124048</f>
        <v>699.01048000000003</v>
      </c>
      <c r="I60" s="363">
        <f>40.2*D60</f>
        <v>201</v>
      </c>
      <c r="J60" s="363">
        <f>1.95*D60</f>
        <v>9.75</v>
      </c>
      <c r="K60" s="362"/>
      <c r="L60" s="364">
        <f>SUM(G60:K60)</f>
        <v>1283.038352</v>
      </c>
      <c r="M60" s="365"/>
      <c r="N60" s="366"/>
      <c r="O60" s="367"/>
      <c r="P60" s="367"/>
      <c r="Q60" s="366"/>
      <c r="R60" s="366"/>
      <c r="S60" s="368">
        <f>T60-L66</f>
        <v>29.876668800000004</v>
      </c>
      <c r="T60" s="368">
        <f>L66*1.1</f>
        <v>328.64335679999999</v>
      </c>
      <c r="U60" s="369">
        <v>1392.07</v>
      </c>
      <c r="V60" s="370">
        <f>U60/L66</f>
        <v>4.6593882648657265</v>
      </c>
      <c r="W60" s="366"/>
      <c r="X60" s="366"/>
      <c r="Y60" s="366"/>
      <c r="Z60" s="366"/>
      <c r="AA60" s="371">
        <f>(40*22/2+40*55+32*13+125*160/2-120*15-60*70/2)/8*5</f>
        <v>5722.5</v>
      </c>
      <c r="AB60" s="372">
        <f>131*13</f>
        <v>1703</v>
      </c>
      <c r="AC60" s="357" t="s">
        <v>52</v>
      </c>
      <c r="AD60" s="556">
        <f>397/8*5</f>
        <v>248.125</v>
      </c>
      <c r="AE60" s="556">
        <f>(5.5*7*8+6*16.5+7*3*2)/8*5</f>
        <v>280.625</v>
      </c>
      <c r="AF60" s="557">
        <f>(4*140+19*5.5/2+4*(21+6)+50*3.5)/8*5</f>
        <v>559.53125</v>
      </c>
      <c r="AG60" s="557"/>
      <c r="AH60" s="118">
        <f>(17.5*5+15*5.5*2+16*5.5*2+30*5.5+32*5.5+14*5.5)/8*5</f>
        <v>529.0625</v>
      </c>
      <c r="AI60" s="118"/>
      <c r="AJ60" s="118"/>
      <c r="AK60" s="118"/>
      <c r="AL60" s="557"/>
      <c r="AM60" s="116">
        <f>(18*55+88*10+18*21+(17*2+1)*7+18*68+32*24+16*12+13*8+9*62)/8*5</f>
        <v>3336.875</v>
      </c>
      <c r="AN60" s="373">
        <f t="shared" si="6"/>
        <v>4019.5</v>
      </c>
      <c r="AO60" s="374">
        <f t="shared" si="12"/>
        <v>4954.21875</v>
      </c>
      <c r="AP60" s="375">
        <f>(AM60+AL60)*0.3+(AG60+AF60+AE60+AD60)*0.6</f>
        <v>1654.03125</v>
      </c>
      <c r="AQ60" s="376">
        <f>F60-AP60</f>
        <v>3980.96875</v>
      </c>
      <c r="AR60" s="377">
        <f>AP60*0.138562</f>
        <v>229.1858780625</v>
      </c>
      <c r="AS60" s="556">
        <f>AM60+AH60</f>
        <v>3865.9375</v>
      </c>
      <c r="AT60" s="256">
        <f>AD60+AE60+AF60+AS60+AG60+AL60</f>
        <v>4954.21875</v>
      </c>
      <c r="AU60" s="132">
        <f t="shared" si="4"/>
        <v>1812.75</v>
      </c>
      <c r="AV60" s="257"/>
    </row>
    <row r="61" spans="1:48" s="134" customFormat="1" ht="15" customHeight="1">
      <c r="A61" s="378">
        <v>72</v>
      </c>
      <c r="B61" s="240" t="s">
        <v>353</v>
      </c>
      <c r="C61" s="258">
        <v>9</v>
      </c>
      <c r="D61" s="259">
        <v>2</v>
      </c>
      <c r="E61" s="259">
        <v>529</v>
      </c>
      <c r="F61" s="259">
        <v>1032</v>
      </c>
      <c r="G61" s="261">
        <f>E61*0.300304</f>
        <v>158.860816</v>
      </c>
      <c r="H61" s="261">
        <f>F61*0.124048</f>
        <v>128.01753600000001</v>
      </c>
      <c r="I61" s="261">
        <f>40.2*D61</f>
        <v>80.400000000000006</v>
      </c>
      <c r="J61" s="261">
        <f>1.95*D61</f>
        <v>3.9</v>
      </c>
      <c r="K61" s="259">
        <v>25</v>
      </c>
      <c r="L61" s="262">
        <f>SUM(G61:K61)</f>
        <v>396.17835200000002</v>
      </c>
      <c r="M61" s="263"/>
      <c r="N61" s="379"/>
      <c r="O61" s="173"/>
      <c r="P61" s="173"/>
      <c r="Q61" s="379"/>
      <c r="R61" s="379"/>
      <c r="S61" s="271">
        <f>T61-L72</f>
        <v>0</v>
      </c>
      <c r="T61" s="271">
        <f>L72*1.1</f>
        <v>0</v>
      </c>
      <c r="U61" s="329">
        <v>1471.11</v>
      </c>
      <c r="V61" s="330" t="e">
        <f>U61/L72</f>
        <v>#DIV/0!</v>
      </c>
      <c r="W61" s="379"/>
      <c r="X61" s="379"/>
      <c r="Y61" s="379"/>
      <c r="Z61" s="379"/>
      <c r="AA61" s="380">
        <v>2259.4</v>
      </c>
      <c r="AB61" s="381">
        <v>540</v>
      </c>
      <c r="AC61" s="357" t="s">
        <v>44</v>
      </c>
      <c r="AD61" s="556">
        <v>114</v>
      </c>
      <c r="AE61" s="556">
        <f>5*8*2</f>
        <v>80</v>
      </c>
      <c r="AF61" s="557">
        <f>57*3.5+30*2+5+8*5+8.5*10</f>
        <v>389.5</v>
      </c>
      <c r="AG61" s="557"/>
      <c r="AH61" s="118"/>
      <c r="AI61" s="118"/>
      <c r="AJ61" s="118"/>
      <c r="AK61" s="118"/>
      <c r="AL61" s="557">
        <f>7*59</f>
        <v>413</v>
      </c>
      <c r="AM61" s="116">
        <f>AA61-AB61-AD61-AE61-AF61-AH61</f>
        <v>1135.9000000000001</v>
      </c>
      <c r="AN61" s="268">
        <f t="shared" si="6"/>
        <v>1719.4</v>
      </c>
      <c r="AO61" s="269">
        <f t="shared" si="12"/>
        <v>2132.4</v>
      </c>
      <c r="AP61" s="270">
        <f>(AM61+AL61)*0.3+(AG61+AF61+AE61+AD61)*0.6</f>
        <v>814.77</v>
      </c>
      <c r="AQ61" s="115">
        <f>F61-AP61</f>
        <v>217.23000000000002</v>
      </c>
      <c r="AR61" s="303">
        <f>AP61*0.138562</f>
        <v>112.89616073999998</v>
      </c>
      <c r="AS61" s="556">
        <f>AM61+AH61</f>
        <v>1135.9000000000001</v>
      </c>
      <c r="AT61" s="256">
        <f>AD61+AE61+AF61+AS61+AG61+AL61</f>
        <v>2132.4</v>
      </c>
      <c r="AU61" s="132">
        <f t="shared" si="4"/>
        <v>814.77</v>
      </c>
      <c r="AV61" s="257" t="s">
        <v>74</v>
      </c>
    </row>
    <row r="62" spans="1:48" s="134" customFormat="1" ht="12.75" customHeight="1" thickBot="1">
      <c r="A62" s="135"/>
      <c r="B62" s="275" t="s">
        <v>320</v>
      </c>
      <c r="C62" s="277"/>
      <c r="D62" s="277"/>
      <c r="E62" s="276">
        <f>SUM(E58:E61)</f>
        <v>2778</v>
      </c>
      <c r="F62" s="276">
        <f>SUM(F58:F61)</f>
        <v>11341</v>
      </c>
      <c r="G62" s="277">
        <f>SUM(G58:G61)</f>
        <v>834.24451199999999</v>
      </c>
      <c r="H62" s="277">
        <f>SUM(H58:H61)</f>
        <v>1406.8283680000002</v>
      </c>
      <c r="I62" s="277"/>
      <c r="J62" s="277"/>
      <c r="K62" s="276"/>
      <c r="L62" s="278">
        <f>SUM(L58:L61)</f>
        <v>2611.1228799999999</v>
      </c>
      <c r="M62" s="263"/>
      <c r="N62" s="172"/>
      <c r="O62" s="173"/>
      <c r="P62" s="173"/>
      <c r="Q62" s="271"/>
      <c r="R62" s="271"/>
      <c r="S62" s="271">
        <f>T62-L62</f>
        <v>261.11228800000026</v>
      </c>
      <c r="T62" s="271">
        <f>L62*1.1</f>
        <v>2872.2351680000002</v>
      </c>
      <c r="U62" s="265">
        <v>1628.73</v>
      </c>
      <c r="V62" s="266">
        <f>U62/L62</f>
        <v>0.62376612471030091</v>
      </c>
      <c r="W62" s="271"/>
      <c r="X62" s="271"/>
      <c r="Y62" s="271"/>
      <c r="Z62" s="271"/>
      <c r="AA62" s="304"/>
      <c r="AB62" s="304"/>
      <c r="AC62" s="305"/>
      <c r="AD62" s="305"/>
      <c r="AE62" s="382"/>
      <c r="AF62" s="382"/>
      <c r="AG62" s="382"/>
      <c r="AH62" s="382"/>
      <c r="AI62" s="382"/>
      <c r="AJ62" s="382"/>
      <c r="AK62" s="382"/>
      <c r="AL62" s="300"/>
      <c r="AM62" s="300">
        <f>AA62-AB62-AD62-AE62-AF62-AH62</f>
        <v>0</v>
      </c>
      <c r="AN62" s="269">
        <f t="shared" si="6"/>
        <v>0</v>
      </c>
      <c r="AO62" s="269">
        <f t="shared" si="12"/>
        <v>0</v>
      </c>
      <c r="AP62" s="270">
        <f>(AM62+AL62+AH62)*0.3+(AG62+AF62+AE62+AD62)*0.6</f>
        <v>0</v>
      </c>
      <c r="AQ62" s="115"/>
      <c r="AR62" s="303"/>
      <c r="AS62" s="308"/>
      <c r="AT62" s="302">
        <f>AD62+AE62+AF62+AH62+AM62</f>
        <v>0</v>
      </c>
      <c r="AU62" s="132">
        <f t="shared" si="4"/>
        <v>0</v>
      </c>
      <c r="AV62" s="257"/>
    </row>
    <row r="63" spans="1:48" s="134" customFormat="1" ht="15">
      <c r="A63" s="135"/>
      <c r="B63" s="309" t="s">
        <v>354</v>
      </c>
      <c r="C63" s="320"/>
      <c r="D63" s="320"/>
      <c r="E63" s="320"/>
      <c r="F63" s="320"/>
      <c r="G63" s="320"/>
      <c r="H63" s="320"/>
      <c r="I63" s="320"/>
      <c r="J63" s="320"/>
      <c r="K63" s="319"/>
      <c r="L63" s="310"/>
      <c r="M63" s="263">
        <f>E63</f>
        <v>0</v>
      </c>
      <c r="N63" s="172"/>
      <c r="O63" s="173"/>
      <c r="P63" s="173"/>
      <c r="Q63" s="271"/>
      <c r="R63" s="271"/>
      <c r="S63" s="271"/>
      <c r="T63" s="271"/>
      <c r="U63" s="265"/>
      <c r="V63" s="266"/>
      <c r="W63" s="271"/>
      <c r="X63" s="271"/>
      <c r="Y63" s="271"/>
      <c r="Z63" s="271"/>
      <c r="AA63" s="304"/>
      <c r="AB63" s="304"/>
      <c r="AC63" s="304"/>
      <c r="AD63" s="304"/>
      <c r="AE63" s="117"/>
      <c r="AF63" s="117"/>
      <c r="AG63" s="117"/>
      <c r="AH63" s="117"/>
      <c r="AI63" s="117"/>
      <c r="AJ63" s="117"/>
      <c r="AK63" s="117"/>
      <c r="AL63" s="269"/>
      <c r="AM63" s="269">
        <f>AA63-AB63-AD63-AE63-AF63-AH63</f>
        <v>0</v>
      </c>
      <c r="AN63" s="269">
        <f t="shared" si="6"/>
        <v>0</v>
      </c>
      <c r="AO63" s="269">
        <f t="shared" si="12"/>
        <v>0</v>
      </c>
      <c r="AP63" s="270">
        <f>(AM63+AL63+AH63)*0.3+(AG63+AF63+AE63+AD63)*0.6</f>
        <v>0</v>
      </c>
      <c r="AQ63" s="115">
        <f>F63-AP63</f>
        <v>0</v>
      </c>
      <c r="AR63" s="303"/>
      <c r="AS63" s="322"/>
      <c r="AT63" s="316">
        <f>AD63+AE63+AF63+AH63+AM63</f>
        <v>0</v>
      </c>
      <c r="AU63" s="132">
        <f t="shared" si="4"/>
        <v>0</v>
      </c>
      <c r="AV63" s="257"/>
    </row>
    <row r="64" spans="1:48" s="134" customFormat="1" ht="15" customHeight="1">
      <c r="A64" s="135">
        <v>60</v>
      </c>
      <c r="B64" s="240" t="s">
        <v>355</v>
      </c>
      <c r="C64" s="272">
        <v>5</v>
      </c>
      <c r="D64" s="260">
        <v>4</v>
      </c>
      <c r="E64" s="260">
        <v>277</v>
      </c>
      <c r="F64" s="260">
        <v>1428</v>
      </c>
      <c r="G64" s="261">
        <f>E64*0.300304</f>
        <v>83.184207999999998</v>
      </c>
      <c r="H64" s="261">
        <f>F64*0.124048</f>
        <v>177.14054400000001</v>
      </c>
      <c r="I64" s="273"/>
      <c r="J64" s="273"/>
      <c r="K64" s="274"/>
      <c r="L64" s="262">
        <f>G64+H64+I64+J64+K64</f>
        <v>260.32475199999999</v>
      </c>
      <c r="M64" s="263">
        <f>E64</f>
        <v>277</v>
      </c>
      <c r="N64" s="173">
        <f>E64/C64</f>
        <v>55.4</v>
      </c>
      <c r="O64" s="173">
        <f>N64*3</f>
        <v>166.2</v>
      </c>
      <c r="P64" s="173">
        <f>E64-O64</f>
        <v>110.80000000000001</v>
      </c>
      <c r="Q64" s="271"/>
      <c r="R64" s="271"/>
      <c r="S64" s="271"/>
      <c r="T64" s="271"/>
      <c r="U64" s="265">
        <f>1.6464*L64</f>
        <v>428.5986716928</v>
      </c>
      <c r="V64" s="266"/>
      <c r="W64" s="271"/>
      <c r="X64" s="271"/>
      <c r="Y64" s="271"/>
      <c r="Z64" s="271"/>
      <c r="AA64" s="304"/>
      <c r="AB64" s="303"/>
      <c r="AC64" s="303"/>
      <c r="AD64" s="556">
        <f>(56+13)*2</f>
        <v>138</v>
      </c>
      <c r="AE64" s="556">
        <f>4*3*4</f>
        <v>48</v>
      </c>
      <c r="AF64" s="557">
        <f>52*3+5+1.5*30</f>
        <v>206</v>
      </c>
      <c r="AG64" s="557"/>
      <c r="AH64" s="116">
        <f>11*3*4</f>
        <v>132</v>
      </c>
      <c r="AI64" s="116"/>
      <c r="AJ64" s="116"/>
      <c r="AK64" s="116"/>
      <c r="AL64" s="557"/>
      <c r="AM64" s="116">
        <f>13*4+48*10/2+13*56</f>
        <v>1020</v>
      </c>
      <c r="AN64" s="268">
        <f t="shared" si="6"/>
        <v>0</v>
      </c>
      <c r="AO64" s="269">
        <f t="shared" si="12"/>
        <v>1544</v>
      </c>
      <c r="AP64" s="270">
        <f>(AM64+AL64+AH64)*0.3+(AG64+AF64+AE64+AD64)*0.6</f>
        <v>580.79999999999995</v>
      </c>
      <c r="AQ64" s="115">
        <f>F64-AP64</f>
        <v>847.2</v>
      </c>
      <c r="AR64" s="303"/>
      <c r="AS64" s="556">
        <f>AM64+AH64</f>
        <v>1152</v>
      </c>
      <c r="AT64" s="256">
        <f>AD64+AE64+AF64+AS64+AG64+AL64</f>
        <v>1544</v>
      </c>
      <c r="AU64" s="132">
        <f t="shared" si="4"/>
        <v>580.79999999999995</v>
      </c>
      <c r="AV64" s="257" t="s">
        <v>82</v>
      </c>
    </row>
    <row r="65" spans="1:48" s="134" customFormat="1" ht="15" customHeight="1">
      <c r="A65" s="127">
        <v>78</v>
      </c>
      <c r="B65" s="240" t="s">
        <v>356</v>
      </c>
      <c r="C65" s="258">
        <v>5</v>
      </c>
      <c r="D65" s="259">
        <v>6</v>
      </c>
      <c r="E65" s="260">
        <v>500</v>
      </c>
      <c r="F65" s="260">
        <v>1703</v>
      </c>
      <c r="G65" s="261">
        <f>E65*0.300304</f>
        <v>150.15200000000002</v>
      </c>
      <c r="H65" s="261">
        <f>F65*0.124048</f>
        <v>211.25374400000001</v>
      </c>
      <c r="I65" s="261"/>
      <c r="J65" s="261"/>
      <c r="K65" s="259"/>
      <c r="L65" s="262">
        <f>G65+H65+I65+J65+K65</f>
        <v>361.40574400000003</v>
      </c>
      <c r="M65" s="263">
        <f>E65</f>
        <v>500</v>
      </c>
      <c r="N65" s="173">
        <f>E65/C65</f>
        <v>100</v>
      </c>
      <c r="O65" s="173">
        <f>N65*3</f>
        <v>300</v>
      </c>
      <c r="P65" s="173">
        <f>M65-O65</f>
        <v>200</v>
      </c>
      <c r="Q65" s="174"/>
      <c r="R65" s="174"/>
      <c r="S65" s="174"/>
      <c r="T65" s="174"/>
      <c r="U65" s="175">
        <f>L65*1.051</f>
        <v>379.83743694399999</v>
      </c>
      <c r="V65" s="176"/>
      <c r="W65" s="174">
        <f>U65*0.3569</f>
        <v>135.56398124531358</v>
      </c>
      <c r="X65" s="174">
        <f>U65+W65</f>
        <v>515.40141818931352</v>
      </c>
      <c r="Y65" s="174">
        <f>X65*1.2</f>
        <v>618.48170182717615</v>
      </c>
      <c r="Z65" s="174"/>
      <c r="AA65" s="311"/>
      <c r="AB65" s="314"/>
      <c r="AC65" s="314"/>
      <c r="AD65" s="560">
        <f>(42+12)*2+0.3*(42*12+2*35+25)</f>
        <v>287.7</v>
      </c>
      <c r="AE65" s="560">
        <f>4*3*2+4*7*2+4*4*2</f>
        <v>112</v>
      </c>
      <c r="AF65" s="561">
        <f>3.5*42+12*4+13*4+7*6+4+22*4+6*4+6*5+20*4.2+6*11+2*100+10*2</f>
        <v>805</v>
      </c>
      <c r="AG65" s="561"/>
      <c r="AH65" s="324">
        <f>4*7+5*10+5*7</f>
        <v>113</v>
      </c>
      <c r="AI65" s="324"/>
      <c r="AJ65" s="324"/>
      <c r="AK65" s="324"/>
      <c r="AL65" s="561"/>
      <c r="AM65" s="116">
        <f>6*13+30*12+5*10+51*7-4+5*18+8*22+4*5+8*16 +7*4+19*10+10*3+40*5+12*2+5*15+5*15</f>
        <v>1877</v>
      </c>
      <c r="AN65" s="268">
        <f t="shared" si="6"/>
        <v>0</v>
      </c>
      <c r="AO65" s="269">
        <f t="shared" si="12"/>
        <v>3194.7</v>
      </c>
      <c r="AP65" s="380">
        <f>(AM65+AL65+AH65)*0.3+(AG65+AF65+AE65+AD65)*0.6</f>
        <v>1319.8200000000002</v>
      </c>
      <c r="AQ65" s="115">
        <f>F65-AP65</f>
        <v>383.17999999999984</v>
      </c>
      <c r="AR65" s="314"/>
      <c r="AS65" s="556">
        <f>AM65+AH65</f>
        <v>1990</v>
      </c>
      <c r="AT65" s="256">
        <f>AD65+AE65+AF65+AS65+AG65+AL65</f>
        <v>3194.7</v>
      </c>
      <c r="AU65" s="132">
        <f t="shared" si="4"/>
        <v>1319.8200000000002</v>
      </c>
      <c r="AV65" s="257" t="s">
        <v>83</v>
      </c>
    </row>
    <row r="66" spans="1:48" s="134" customFormat="1" ht="15" customHeight="1">
      <c r="A66" s="239">
        <v>60</v>
      </c>
      <c r="B66" s="240" t="s">
        <v>357</v>
      </c>
      <c r="C66" s="258">
        <v>5</v>
      </c>
      <c r="D66" s="259">
        <v>4</v>
      </c>
      <c r="E66" s="259">
        <v>272</v>
      </c>
      <c r="F66" s="259">
        <v>1750</v>
      </c>
      <c r="G66" s="261">
        <f>E66*0.300304</f>
        <v>81.682687999999999</v>
      </c>
      <c r="H66" s="261">
        <f>F66*0.124048</f>
        <v>217.084</v>
      </c>
      <c r="I66" s="261"/>
      <c r="J66" s="261"/>
      <c r="K66" s="259"/>
      <c r="L66" s="262">
        <f>SUM(G66:K66)</f>
        <v>298.76668799999999</v>
      </c>
      <c r="M66" s="263">
        <f>E77</f>
        <v>0</v>
      </c>
      <c r="N66" s="264"/>
      <c r="O66" s="173"/>
      <c r="P66" s="173"/>
      <c r="Q66" s="264"/>
      <c r="R66" s="264"/>
      <c r="S66" s="264"/>
      <c r="T66" s="264"/>
      <c r="U66" s="265"/>
      <c r="V66" s="266"/>
      <c r="W66" s="264"/>
      <c r="X66" s="264"/>
      <c r="Y66" s="264"/>
      <c r="Z66" s="264"/>
      <c r="AA66" s="115">
        <v>2637</v>
      </c>
      <c r="AB66" s="267">
        <v>627</v>
      </c>
      <c r="AC66" s="267"/>
      <c r="AD66" s="556">
        <v>136</v>
      </c>
      <c r="AE66" s="556">
        <f>12+3.5*5*3</f>
        <v>64.5</v>
      </c>
      <c r="AF66" s="557">
        <f>3*3.5+2.5*6+3*57+12*12</f>
        <v>340.5</v>
      </c>
      <c r="AG66" s="557">
        <f>13*3</f>
        <v>39</v>
      </c>
      <c r="AH66" s="118">
        <f>11*5*3</f>
        <v>165</v>
      </c>
      <c r="AI66" s="118"/>
      <c r="AJ66" s="118"/>
      <c r="AK66" s="118"/>
      <c r="AL66" s="557"/>
      <c r="AM66" s="116">
        <f t="shared" ref="AM66:AM72" si="13">AA66-AB66-AD66-AE66-AF66-AH66</f>
        <v>1304</v>
      </c>
      <c r="AN66" s="268">
        <f t="shared" si="6"/>
        <v>2010</v>
      </c>
      <c r="AO66" s="269">
        <f t="shared" si="12"/>
        <v>2049</v>
      </c>
      <c r="AP66" s="270">
        <f>(AM66+AL66)*0.3+(AG66+AF66+AE66+AD66)*0.6</f>
        <v>739.2</v>
      </c>
      <c r="AQ66" s="115">
        <f>F66-AP66</f>
        <v>1010.8</v>
      </c>
      <c r="AR66" s="303">
        <f>AP66*0.138562</f>
        <v>102.4250304</v>
      </c>
      <c r="AS66" s="556">
        <f>AM66+AH66</f>
        <v>1469</v>
      </c>
      <c r="AT66" s="256">
        <f>AD66+AE66+AF66+AS66+AG66+AL66</f>
        <v>2049</v>
      </c>
      <c r="AU66" s="132">
        <f t="shared" si="4"/>
        <v>788.7</v>
      </c>
      <c r="AV66" s="257" t="s">
        <v>87</v>
      </c>
    </row>
    <row r="67" spans="1:48" s="134" customFormat="1" ht="12" customHeight="1" thickBot="1">
      <c r="A67" s="135"/>
      <c r="B67" s="275" t="s">
        <v>320</v>
      </c>
      <c r="C67" s="277"/>
      <c r="D67" s="277"/>
      <c r="E67" s="276">
        <f t="shared" ref="E67:J67" si="14">SUM(E63:E66)</f>
        <v>1049</v>
      </c>
      <c r="F67" s="276">
        <f t="shared" si="14"/>
        <v>4881</v>
      </c>
      <c r="G67" s="277">
        <f t="shared" si="14"/>
        <v>315.01889599999998</v>
      </c>
      <c r="H67" s="277">
        <f t="shared" si="14"/>
        <v>605.47828800000002</v>
      </c>
      <c r="I67" s="277">
        <f t="shared" si="14"/>
        <v>0</v>
      </c>
      <c r="J67" s="277">
        <f t="shared" si="14"/>
        <v>0</v>
      </c>
      <c r="K67" s="276"/>
      <c r="L67" s="278">
        <f>SUM(L63:L66)</f>
        <v>920.49718400000006</v>
      </c>
      <c r="M67" s="263"/>
      <c r="N67" s="172"/>
      <c r="O67" s="173"/>
      <c r="P67" s="173"/>
      <c r="Q67" s="271"/>
      <c r="R67" s="271"/>
      <c r="S67" s="271">
        <f>T67-L67</f>
        <v>92.049718400000074</v>
      </c>
      <c r="T67" s="271">
        <f>L67*1.1</f>
        <v>1012.5469024000001</v>
      </c>
      <c r="U67" s="265">
        <v>1417.19</v>
      </c>
      <c r="V67" s="266">
        <f>U67/L67</f>
        <v>1.5395918908101733</v>
      </c>
      <c r="W67" s="271"/>
      <c r="X67" s="271"/>
      <c r="Y67" s="271"/>
      <c r="Z67" s="271"/>
      <c r="AA67" s="304"/>
      <c r="AB67" s="304"/>
      <c r="AC67" s="305"/>
      <c r="AD67" s="305"/>
      <c r="AE67" s="382"/>
      <c r="AF67" s="382"/>
      <c r="AG67" s="382"/>
      <c r="AH67" s="382"/>
      <c r="AI67" s="382"/>
      <c r="AJ67" s="382"/>
      <c r="AK67" s="382"/>
      <c r="AL67" s="300"/>
      <c r="AM67" s="300">
        <f t="shared" si="13"/>
        <v>0</v>
      </c>
      <c r="AN67" s="269">
        <f t="shared" si="6"/>
        <v>0</v>
      </c>
      <c r="AO67" s="269">
        <f t="shared" si="12"/>
        <v>0</v>
      </c>
      <c r="AP67" s="270">
        <f>(AM67+AL67+AH67)*0.3+(AG67+AF67+AE67+AD67)*0.6</f>
        <v>0</v>
      </c>
      <c r="AQ67" s="115"/>
      <c r="AR67" s="303"/>
      <c r="AS67" s="308"/>
      <c r="AT67" s="302">
        <f>AD67+AE67+AF67+AH67+AM67</f>
        <v>0</v>
      </c>
      <c r="AU67" s="132">
        <f t="shared" si="4"/>
        <v>0</v>
      </c>
      <c r="AV67" s="257"/>
    </row>
    <row r="68" spans="1:48" s="239" customFormat="1" ht="15">
      <c r="B68" s="309" t="s">
        <v>358</v>
      </c>
      <c r="C68" s="320"/>
      <c r="D68" s="320"/>
      <c r="E68" s="320"/>
      <c r="F68" s="320"/>
      <c r="G68" s="320"/>
      <c r="H68" s="320"/>
      <c r="I68" s="320"/>
      <c r="J68" s="320"/>
      <c r="K68" s="319"/>
      <c r="L68" s="310"/>
      <c r="M68" s="263">
        <f>E74</f>
        <v>256</v>
      </c>
      <c r="N68" s="173">
        <f>E74/C74</f>
        <v>28.444444444444443</v>
      </c>
      <c r="O68" s="173">
        <f>N68*3</f>
        <v>85.333333333333329</v>
      </c>
      <c r="P68" s="173">
        <f>E74-O68</f>
        <v>170.66666666666669</v>
      </c>
      <c r="Q68" s="264"/>
      <c r="R68" s="264"/>
      <c r="S68" s="264"/>
      <c r="T68" s="264"/>
      <c r="U68" s="265">
        <f>1.805*L74</f>
        <v>416.36119831999997</v>
      </c>
      <c r="V68" s="266"/>
      <c r="W68" s="264"/>
      <c r="X68" s="264"/>
      <c r="Y68" s="264"/>
      <c r="Z68" s="264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321"/>
      <c r="AM68" s="269">
        <f t="shared" si="13"/>
        <v>0</v>
      </c>
      <c r="AN68" s="269">
        <f t="shared" si="6"/>
        <v>0</v>
      </c>
      <c r="AO68" s="269">
        <f t="shared" si="12"/>
        <v>0</v>
      </c>
      <c r="AP68" s="270">
        <f>(AM68+AL68+AH68)*0.3+(AG68+AF68+AE68+AD68)*0.6</f>
        <v>0</v>
      </c>
      <c r="AQ68" s="115">
        <f>F68-AP68</f>
        <v>0</v>
      </c>
      <c r="AR68" s="267"/>
      <c r="AS68" s="383"/>
      <c r="AT68" s="316">
        <f>AD68+AE68+AF68+AH68+AM68</f>
        <v>0</v>
      </c>
      <c r="AU68" s="132">
        <f t="shared" si="4"/>
        <v>0</v>
      </c>
      <c r="AV68" s="257"/>
    </row>
    <row r="69" spans="1:48" s="239" customFormat="1" ht="15" customHeight="1">
      <c r="A69" s="239">
        <v>40</v>
      </c>
      <c r="B69" s="240" t="s">
        <v>359</v>
      </c>
      <c r="C69" s="258">
        <v>5</v>
      </c>
      <c r="D69" s="259">
        <v>2</v>
      </c>
      <c r="E69" s="259">
        <v>134</v>
      </c>
      <c r="F69" s="259">
        <v>1927</v>
      </c>
      <c r="G69" s="261">
        <f>E69*0.300304</f>
        <v>40.240736000000005</v>
      </c>
      <c r="H69" s="261">
        <f>F69*0.124048</f>
        <v>239.04049600000002</v>
      </c>
      <c r="I69" s="261"/>
      <c r="J69" s="261"/>
      <c r="K69" s="259"/>
      <c r="L69" s="262">
        <f>SUM(G69:K69)</f>
        <v>279.28123200000005</v>
      </c>
      <c r="M69" s="263">
        <f>E80</f>
        <v>979</v>
      </c>
      <c r="N69" s="173" t="e">
        <f>E80/C80</f>
        <v>#DIV/0!</v>
      </c>
      <c r="O69" s="173" t="e">
        <f>N69*3</f>
        <v>#DIV/0!</v>
      </c>
      <c r="P69" s="173" t="e">
        <f>E80-O69</f>
        <v>#DIV/0!</v>
      </c>
      <c r="Q69" s="264"/>
      <c r="R69" s="264"/>
      <c r="S69" s="271">
        <f>T69-L80</f>
        <v>78.207385600000066</v>
      </c>
      <c r="T69" s="271">
        <f>L80*1.1</f>
        <v>860.28124160000004</v>
      </c>
      <c r="U69" s="265">
        <v>1680.06</v>
      </c>
      <c r="V69" s="266">
        <f>U69/L80</f>
        <v>2.1482114343942471</v>
      </c>
      <c r="W69" s="264"/>
      <c r="X69" s="264"/>
      <c r="Y69" s="264"/>
      <c r="Z69" s="264"/>
      <c r="AA69" s="115">
        <v>4841.68</v>
      </c>
      <c r="AB69" s="267">
        <v>408</v>
      </c>
      <c r="AC69" s="267"/>
      <c r="AD69" s="556">
        <v>92</v>
      </c>
      <c r="AE69" s="556">
        <f>3*5*2</f>
        <v>30</v>
      </c>
      <c r="AF69" s="557">
        <f>82*3</f>
        <v>246</v>
      </c>
      <c r="AG69" s="557"/>
      <c r="AH69" s="118">
        <f>5*11</f>
        <v>55</v>
      </c>
      <c r="AI69" s="118"/>
      <c r="AJ69" s="118"/>
      <c r="AK69" s="118"/>
      <c r="AL69" s="557"/>
      <c r="AM69" s="116">
        <f t="shared" si="13"/>
        <v>4010.6800000000003</v>
      </c>
      <c r="AN69" s="268">
        <f t="shared" si="6"/>
        <v>4433.68</v>
      </c>
      <c r="AO69" s="269">
        <f t="shared" si="12"/>
        <v>4433.68</v>
      </c>
      <c r="AP69" s="270">
        <f>(AM69+AL69)*0.3+(AG69+AF69+AE69+AD69)*0.6</f>
        <v>1424.0039999999999</v>
      </c>
      <c r="AQ69" s="115">
        <f>F69-AP69</f>
        <v>502.99600000000009</v>
      </c>
      <c r="AR69" s="303">
        <f>AP69*0.138562</f>
        <v>197.31284224799998</v>
      </c>
      <c r="AS69" s="556">
        <f>AM69+AH69</f>
        <v>4065.6800000000003</v>
      </c>
      <c r="AT69" s="256">
        <f>AD69+AE69+AF69+AS69+AG69+AL69</f>
        <v>4433.68</v>
      </c>
      <c r="AU69" s="132">
        <f t="shared" si="4"/>
        <v>1440.5039999999999</v>
      </c>
      <c r="AV69" s="257" t="s">
        <v>88</v>
      </c>
    </row>
    <row r="70" spans="1:48" s="239" customFormat="1" ht="15" customHeight="1">
      <c r="A70" s="239">
        <v>215</v>
      </c>
      <c r="B70" s="240" t="s">
        <v>360</v>
      </c>
      <c r="C70" s="258">
        <v>9</v>
      </c>
      <c r="D70" s="259">
        <v>6</v>
      </c>
      <c r="E70" s="259">
        <v>1596</v>
      </c>
      <c r="F70" s="261" t="s">
        <v>361</v>
      </c>
      <c r="G70" s="261">
        <f>E70*0.300304</f>
        <v>479.28518400000002</v>
      </c>
      <c r="H70" s="261">
        <f>F70*0.124048</f>
        <v>521.00160000000005</v>
      </c>
      <c r="I70" s="261">
        <f>40.2*D70</f>
        <v>241.20000000000002</v>
      </c>
      <c r="J70" s="261">
        <f>1.95*D70</f>
        <v>11.7</v>
      </c>
      <c r="K70" s="259">
        <v>25</v>
      </c>
      <c r="L70" s="384">
        <f>SUM(G70:K70)</f>
        <v>1278.1867840000002</v>
      </c>
      <c r="M70" s="263">
        <f>E77</f>
        <v>0</v>
      </c>
      <c r="N70" s="173" t="e">
        <f>E77/C77</f>
        <v>#DIV/0!</v>
      </c>
      <c r="O70" s="173" t="e">
        <f>N70*3</f>
        <v>#DIV/0!</v>
      </c>
      <c r="P70" s="173" t="e">
        <f>E77-O70</f>
        <v>#DIV/0!</v>
      </c>
      <c r="Q70" s="264"/>
      <c r="R70" s="264"/>
      <c r="S70" s="271">
        <f>T70-L77</f>
        <v>0</v>
      </c>
      <c r="T70" s="271">
        <f>L77*1.1</f>
        <v>0</v>
      </c>
      <c r="U70" s="265">
        <v>1114.3</v>
      </c>
      <c r="V70" s="266" t="e">
        <f>U70/L77</f>
        <v>#DIV/0!</v>
      </c>
      <c r="W70" s="264"/>
      <c r="X70" s="264"/>
      <c r="Y70" s="264"/>
      <c r="Z70" s="264"/>
      <c r="AA70" s="115">
        <v>3567.7</v>
      </c>
      <c r="AB70" s="267">
        <v>1620</v>
      </c>
      <c r="AC70" s="267"/>
      <c r="AD70" s="556">
        <v>330</v>
      </c>
      <c r="AE70" s="556">
        <f>(5*7.5*4+3.5*6*2)</f>
        <v>192</v>
      </c>
      <c r="AF70" s="557">
        <f>135+(135+12)*4</f>
        <v>723</v>
      </c>
      <c r="AG70" s="557"/>
      <c r="AH70" s="118">
        <f>7*7.5+3.5*6.5+15.5*3+3.5*10</f>
        <v>156.75</v>
      </c>
      <c r="AI70" s="118"/>
      <c r="AJ70" s="118"/>
      <c r="AK70" s="118"/>
      <c r="AL70" s="557">
        <f>11*11+17*135</f>
        <v>2416</v>
      </c>
      <c r="AM70" s="116">
        <f t="shared" si="13"/>
        <v>545.94999999999982</v>
      </c>
      <c r="AN70" s="268">
        <f t="shared" si="6"/>
        <v>1947.6999999999998</v>
      </c>
      <c r="AO70" s="269">
        <f t="shared" si="12"/>
        <v>4363.7</v>
      </c>
      <c r="AP70" s="270">
        <f>(AM70+AL70)*0.3+(AG70+AF70+AE70+AD70)*0.6</f>
        <v>1635.585</v>
      </c>
      <c r="AQ70" s="115">
        <f>F70-AP70</f>
        <v>2564.415</v>
      </c>
      <c r="AR70" s="303">
        <f>AP70*0.138562</f>
        <v>226.62992876999999</v>
      </c>
      <c r="AS70" s="556">
        <f>AM70+AH70</f>
        <v>702.69999999999982</v>
      </c>
      <c r="AT70" s="256">
        <f>AD70+AE70+AF70+AS70+AG70+AL70</f>
        <v>4363.7</v>
      </c>
      <c r="AU70" s="132">
        <f t="shared" si="4"/>
        <v>1682.61</v>
      </c>
      <c r="AV70" s="257" t="s">
        <v>89</v>
      </c>
    </row>
    <row r="71" spans="1:48" s="239" customFormat="1" thickBot="1">
      <c r="B71" s="275" t="s">
        <v>320</v>
      </c>
      <c r="C71" s="277"/>
      <c r="D71" s="277"/>
      <c r="E71" s="276">
        <f t="shared" ref="E71:L71" si="15">SUM(E69:E70)</f>
        <v>1730</v>
      </c>
      <c r="F71" s="276">
        <f t="shared" si="15"/>
        <v>1927</v>
      </c>
      <c r="G71" s="277">
        <f t="shared" si="15"/>
        <v>519.52592000000004</v>
      </c>
      <c r="H71" s="277">
        <f t="shared" si="15"/>
        <v>760.04209600000013</v>
      </c>
      <c r="I71" s="277">
        <f t="shared" si="15"/>
        <v>241.20000000000002</v>
      </c>
      <c r="J71" s="277">
        <f t="shared" si="15"/>
        <v>11.7</v>
      </c>
      <c r="K71" s="276">
        <f t="shared" si="15"/>
        <v>25</v>
      </c>
      <c r="L71" s="278">
        <f t="shared" si="15"/>
        <v>1557.4680160000003</v>
      </c>
      <c r="M71" s="263">
        <f>E78</f>
        <v>540</v>
      </c>
      <c r="N71" s="173">
        <f>E78/C78</f>
        <v>60</v>
      </c>
      <c r="O71" s="173">
        <f>N71*3</f>
        <v>180</v>
      </c>
      <c r="P71" s="173">
        <f>E78-O71</f>
        <v>360</v>
      </c>
      <c r="Q71" s="264"/>
      <c r="R71" s="264"/>
      <c r="S71" s="265"/>
      <c r="T71" s="264"/>
      <c r="U71" s="265">
        <f>V72*L78</f>
        <v>506.81652069443425</v>
      </c>
      <c r="V71" s="266"/>
      <c r="W71" s="264"/>
      <c r="X71" s="264"/>
      <c r="Y71" s="264"/>
      <c r="Z71" s="264"/>
      <c r="AA71" s="115"/>
      <c r="AB71" s="115"/>
      <c r="AC71" s="385"/>
      <c r="AD71" s="385"/>
      <c r="AE71" s="385"/>
      <c r="AF71" s="385"/>
      <c r="AG71" s="385"/>
      <c r="AH71" s="385"/>
      <c r="AI71" s="385"/>
      <c r="AJ71" s="385"/>
      <c r="AK71" s="385"/>
      <c r="AL71" s="307"/>
      <c r="AM71" s="300">
        <f t="shared" si="13"/>
        <v>0</v>
      </c>
      <c r="AN71" s="269">
        <f t="shared" si="6"/>
        <v>0</v>
      </c>
      <c r="AO71" s="269">
        <f t="shared" si="12"/>
        <v>0</v>
      </c>
      <c r="AP71" s="270">
        <f>(AM71+AL71+AH71)*0.3+(AG71+AF71+AE71+AD71)*0.6</f>
        <v>0</v>
      </c>
      <c r="AQ71" s="115"/>
      <c r="AR71" s="267"/>
      <c r="AS71" s="251"/>
      <c r="AT71" s="302">
        <f>AD71+AE71+AF71+AH71+AM71</f>
        <v>0</v>
      </c>
      <c r="AU71" s="132">
        <f t="shared" si="4"/>
        <v>0</v>
      </c>
      <c r="AV71" s="257"/>
    </row>
    <row r="72" spans="1:48" s="239" customFormat="1" ht="15">
      <c r="A72" s="239">
        <v>84</v>
      </c>
      <c r="B72" s="309" t="s">
        <v>362</v>
      </c>
      <c r="C72" s="242"/>
      <c r="D72" s="242"/>
      <c r="E72" s="242"/>
      <c r="F72" s="242"/>
      <c r="G72" s="242"/>
      <c r="H72" s="242"/>
      <c r="I72" s="242"/>
      <c r="J72" s="243"/>
      <c r="K72" s="242"/>
      <c r="L72" s="386"/>
      <c r="M72" s="263"/>
      <c r="N72" s="264"/>
      <c r="O72" s="173"/>
      <c r="P72" s="173"/>
      <c r="Q72" s="264"/>
      <c r="R72" s="264"/>
      <c r="S72" s="271">
        <f>T72-L80</f>
        <v>78.207385600000066</v>
      </c>
      <c r="T72" s="271">
        <f>L80*1.1</f>
        <v>860.28124160000004</v>
      </c>
      <c r="U72" s="329">
        <v>1200.4000000000001</v>
      </c>
      <c r="V72" s="266">
        <f>U72/L80</f>
        <v>1.5348934001445511</v>
      </c>
      <c r="W72" s="264"/>
      <c r="X72" s="264"/>
      <c r="Y72" s="264"/>
      <c r="Z72" s="264"/>
      <c r="AA72" s="115"/>
      <c r="AB72" s="115"/>
      <c r="AC72" s="115"/>
      <c r="AD72" s="115"/>
      <c r="AE72" s="115"/>
      <c r="AF72" s="304"/>
      <c r="AG72" s="304"/>
      <c r="AH72" s="304"/>
      <c r="AI72" s="304"/>
      <c r="AJ72" s="304"/>
      <c r="AK72" s="304"/>
      <c r="AL72" s="321"/>
      <c r="AM72" s="269">
        <f t="shared" si="13"/>
        <v>0</v>
      </c>
      <c r="AN72" s="269">
        <f t="shared" si="6"/>
        <v>0</v>
      </c>
      <c r="AO72" s="269">
        <f t="shared" si="12"/>
        <v>0</v>
      </c>
      <c r="AP72" s="270">
        <f>(AM72+AL72+AH72)*0.3+(AG72+AF72+AE72+AD72)*0.6</f>
        <v>0</v>
      </c>
      <c r="AQ72" s="115">
        <f>F72-AP72</f>
        <v>0</v>
      </c>
      <c r="AR72" s="267"/>
      <c r="AS72" s="383"/>
      <c r="AT72" s="316">
        <f>AD72+AE72+AF72+AH72+AM72</f>
        <v>0</v>
      </c>
      <c r="AU72" s="132">
        <f t="shared" si="4"/>
        <v>0</v>
      </c>
      <c r="AV72" s="257"/>
    </row>
    <row r="73" spans="1:48" s="239" customFormat="1" ht="15" customHeight="1">
      <c r="A73" s="239">
        <v>70</v>
      </c>
      <c r="B73" s="240" t="s">
        <v>363</v>
      </c>
      <c r="C73" s="258">
        <v>9</v>
      </c>
      <c r="D73" s="259">
        <v>2</v>
      </c>
      <c r="E73" s="259">
        <v>569</v>
      </c>
      <c r="F73" s="259">
        <v>1100</v>
      </c>
      <c r="G73" s="261">
        <f>E73*0.300304</f>
        <v>170.87297600000002</v>
      </c>
      <c r="H73" s="261">
        <f>F73*0.124048</f>
        <v>136.4528</v>
      </c>
      <c r="I73" s="261">
        <f>40.2*D73</f>
        <v>80.400000000000006</v>
      </c>
      <c r="J73" s="261">
        <f>1.95*D73</f>
        <v>3.9</v>
      </c>
      <c r="K73" s="259">
        <v>25</v>
      </c>
      <c r="L73" s="262">
        <f>SUM(G73:K73)</f>
        <v>416.62577599999997</v>
      </c>
      <c r="M73" s="263">
        <f>E80</f>
        <v>979</v>
      </c>
      <c r="N73" s="173" t="e">
        <f>E80/C80</f>
        <v>#DIV/0!</v>
      </c>
      <c r="O73" s="173" t="e">
        <f>N73*3</f>
        <v>#DIV/0!</v>
      </c>
      <c r="P73" s="173" t="e">
        <f>E80-O73</f>
        <v>#DIV/0!</v>
      </c>
      <c r="Q73" s="264"/>
      <c r="R73" s="264"/>
      <c r="S73" s="264"/>
      <c r="T73" s="264"/>
      <c r="U73" s="265">
        <f>1.071*L80</f>
        <v>837.60109977599996</v>
      </c>
      <c r="V73" s="266"/>
      <c r="W73" s="264"/>
      <c r="X73" s="264"/>
      <c r="Y73" s="264"/>
      <c r="Z73" s="264"/>
      <c r="AA73" s="117">
        <v>2038.12</v>
      </c>
      <c r="AB73" s="340">
        <f>12*45</f>
        <v>540</v>
      </c>
      <c r="AC73" s="340"/>
      <c r="AD73" s="556">
        <f>45*2+12</f>
        <v>102</v>
      </c>
      <c r="AE73" s="556">
        <f>9*5+5*11</f>
        <v>100</v>
      </c>
      <c r="AF73" s="557">
        <f>4*14+70*3+8+8+9+3*18*2+18*4+18+4*3*2</f>
        <v>513</v>
      </c>
      <c r="AG73" s="557">
        <f>65*3</f>
        <v>195</v>
      </c>
      <c r="AH73" s="116">
        <f>8*3+5*4*2+9*2.5+5*10+13*4</f>
        <v>188.5</v>
      </c>
      <c r="AI73" s="116"/>
      <c r="AJ73" s="116"/>
      <c r="AK73" s="116"/>
      <c r="AL73" s="557"/>
      <c r="AM73" s="116">
        <f>65*8*2+7*18-18+10*12-10</f>
        <v>1258</v>
      </c>
      <c r="AN73" s="268">
        <f t="shared" si="6"/>
        <v>1498.12</v>
      </c>
      <c r="AO73" s="269">
        <f t="shared" si="12"/>
        <v>2356.5</v>
      </c>
      <c r="AP73" s="270">
        <f>(AM73+AL73)*0.3+(AG73+AF73+AE73+AD73)*0.6</f>
        <v>923.4</v>
      </c>
      <c r="AQ73" s="115">
        <f>F73-AP73</f>
        <v>176.60000000000002</v>
      </c>
      <c r="AR73" s="303">
        <f>AP73*0.138562</f>
        <v>127.94815079999999</v>
      </c>
      <c r="AS73" s="556">
        <f>AM73+AH73</f>
        <v>1446.5</v>
      </c>
      <c r="AT73" s="256">
        <f>AD73+AE73+AF73+AS73+AG73+AL73</f>
        <v>2356.5</v>
      </c>
      <c r="AU73" s="132">
        <f t="shared" si="4"/>
        <v>979.95</v>
      </c>
      <c r="AV73" s="257" t="s">
        <v>84</v>
      </c>
    </row>
    <row r="74" spans="1:48" s="239" customFormat="1" ht="15" customHeight="1">
      <c r="A74" s="239">
        <v>36</v>
      </c>
      <c r="B74" s="240" t="s">
        <v>364</v>
      </c>
      <c r="C74" s="258">
        <v>9</v>
      </c>
      <c r="D74" s="259">
        <v>1</v>
      </c>
      <c r="E74" s="259">
        <v>256</v>
      </c>
      <c r="F74" s="259">
        <v>900</v>
      </c>
      <c r="G74" s="261">
        <f>E74*0.300304</f>
        <v>76.877824000000004</v>
      </c>
      <c r="H74" s="261">
        <f>F74*0.124048</f>
        <v>111.64320000000001</v>
      </c>
      <c r="I74" s="261">
        <f>40.2*D74</f>
        <v>40.200000000000003</v>
      </c>
      <c r="J74" s="261">
        <f>1.95*D74</f>
        <v>1.95</v>
      </c>
      <c r="K74" s="259"/>
      <c r="L74" s="262">
        <f>SUM(G74:K74)</f>
        <v>230.67102399999999</v>
      </c>
      <c r="M74" s="263">
        <f>E81</f>
        <v>0</v>
      </c>
      <c r="N74" s="173" t="e">
        <f>E81/C81</f>
        <v>#DIV/0!</v>
      </c>
      <c r="O74" s="173" t="e">
        <f>N74*3</f>
        <v>#DIV/0!</v>
      </c>
      <c r="P74" s="173" t="e">
        <f>E81-O74</f>
        <v>#DIV/0!</v>
      </c>
      <c r="Q74" s="264"/>
      <c r="R74" s="264"/>
      <c r="S74" s="264"/>
      <c r="T74" s="264"/>
      <c r="U74" s="265">
        <f>1.071*L81</f>
        <v>0</v>
      </c>
      <c r="V74" s="266"/>
      <c r="W74" s="264"/>
      <c r="X74" s="264"/>
      <c r="Y74" s="264"/>
      <c r="Z74" s="264"/>
      <c r="AA74" s="117">
        <v>1649.39</v>
      </c>
      <c r="AB74" s="340">
        <f>27*13</f>
        <v>351</v>
      </c>
      <c r="AC74" s="340"/>
      <c r="AD74" s="556">
        <f>(27*13)*2</f>
        <v>702</v>
      </c>
      <c r="AE74" s="556">
        <f>2*5</f>
        <v>10</v>
      </c>
      <c r="AF74" s="557">
        <f>37*3+18+3.7*38</f>
        <v>269.60000000000002</v>
      </c>
      <c r="AG74" s="557"/>
      <c r="AH74" s="116">
        <f>3*12+8*10*3.5</f>
        <v>316</v>
      </c>
      <c r="AI74" s="116"/>
      <c r="AJ74" s="116"/>
      <c r="AK74" s="116"/>
      <c r="AL74" s="557"/>
      <c r="AM74" s="116">
        <f>32*14+(30*15/2)-18+6*14+8*28+10.24</f>
        <v>973.24</v>
      </c>
      <c r="AN74" s="268">
        <f t="shared" si="6"/>
        <v>1298.3900000000001</v>
      </c>
      <c r="AO74" s="269">
        <f t="shared" si="12"/>
        <v>2270.84</v>
      </c>
      <c r="AP74" s="270">
        <f>(AM74+AL74)*0.3+(AG74+AF74+AE74+AD74)*0.6</f>
        <v>880.93200000000002</v>
      </c>
      <c r="AQ74" s="115">
        <f>F74-AP74</f>
        <v>19.067999999999984</v>
      </c>
      <c r="AR74" s="303">
        <f>AP74*0.138562</f>
        <v>122.06369978399999</v>
      </c>
      <c r="AS74" s="556">
        <f>AM74+AH74</f>
        <v>1289.24</v>
      </c>
      <c r="AT74" s="256">
        <f>AD74+AE74+AF74+AS74+AG74+AL74</f>
        <v>2270.84</v>
      </c>
      <c r="AU74" s="132">
        <f t="shared" si="4"/>
        <v>975.73199999999997</v>
      </c>
      <c r="AV74" s="257" t="s">
        <v>85</v>
      </c>
    </row>
    <row r="75" spans="1:48" s="239" customFormat="1" ht="15" customHeight="1">
      <c r="A75" s="378">
        <v>60</v>
      </c>
      <c r="B75" s="240" t="s">
        <v>365</v>
      </c>
      <c r="C75" s="258" t="s">
        <v>56</v>
      </c>
      <c r="D75" s="259">
        <v>4</v>
      </c>
      <c r="E75" s="259">
        <v>276</v>
      </c>
      <c r="F75" s="259">
        <v>1400</v>
      </c>
      <c r="G75" s="261">
        <f>E75*0.300304</f>
        <v>82.883904000000001</v>
      </c>
      <c r="H75" s="261">
        <f>F75*0.124048</f>
        <v>173.66720000000001</v>
      </c>
      <c r="I75" s="261"/>
      <c r="J75" s="261"/>
      <c r="K75" s="259"/>
      <c r="L75" s="262">
        <f>SUM(G75:K75)</f>
        <v>256.55110400000001</v>
      </c>
      <c r="M75" s="263"/>
      <c r="N75" s="379"/>
      <c r="O75" s="173"/>
      <c r="P75" s="173"/>
      <c r="Q75" s="379"/>
      <c r="R75" s="379"/>
      <c r="S75" s="271">
        <f>T75-L82</f>
        <v>27.202452800000003</v>
      </c>
      <c r="T75" s="271">
        <f>L82*1.1</f>
        <v>299.22698080000004</v>
      </c>
      <c r="U75" s="329">
        <v>1043.3399999999999</v>
      </c>
      <c r="V75" s="266">
        <f>U75/L82</f>
        <v>3.8354629550170558</v>
      </c>
      <c r="W75" s="379"/>
      <c r="X75" s="379"/>
      <c r="Y75" s="379"/>
      <c r="Z75" s="379"/>
      <c r="AA75" s="117">
        <v>1788.75</v>
      </c>
      <c r="AB75" s="340">
        <f>56*12</f>
        <v>672</v>
      </c>
      <c r="AC75" s="340"/>
      <c r="AD75" s="556">
        <f>56*2+12</f>
        <v>124</v>
      </c>
      <c r="AE75" s="556">
        <f>5*3+4</f>
        <v>19</v>
      </c>
      <c r="AF75" s="557">
        <f>19+8+26*2*4+5*5+6</f>
        <v>266</v>
      </c>
      <c r="AG75" s="557">
        <f>65*3</f>
        <v>195</v>
      </c>
      <c r="AH75" s="116">
        <f>8*3+5*4*2+9*2.5+5*10+13*4</f>
        <v>188.5</v>
      </c>
      <c r="AI75" s="116"/>
      <c r="AJ75" s="116"/>
      <c r="AK75" s="116"/>
      <c r="AL75" s="557"/>
      <c r="AM75" s="116">
        <f>6*60+(19+23)/2+23*25-5*5-6+8*5</f>
        <v>965</v>
      </c>
      <c r="AN75" s="268">
        <f t="shared" si="6"/>
        <v>1116.75</v>
      </c>
      <c r="AO75" s="269">
        <f t="shared" si="12"/>
        <v>1757.5</v>
      </c>
      <c r="AP75" s="270">
        <f>(AM75+AL75)*0.3+(AG75+AF75+AE75+AD75)*0.6</f>
        <v>651.9</v>
      </c>
      <c r="AQ75" s="115">
        <f>F75-AP75</f>
        <v>748.1</v>
      </c>
      <c r="AR75" s="303">
        <f>AP75*0.138562</f>
        <v>90.328567799999988</v>
      </c>
      <c r="AS75" s="556">
        <f>AM75+AH75</f>
        <v>1153.5</v>
      </c>
      <c r="AT75" s="256">
        <f>AD75+AE75+AF75+AS75+AG75+AL75</f>
        <v>1757.5</v>
      </c>
      <c r="AU75" s="132">
        <f t="shared" si="4"/>
        <v>708.45</v>
      </c>
      <c r="AV75" s="257" t="s">
        <v>86</v>
      </c>
    </row>
    <row r="76" spans="1:48" s="239" customFormat="1" thickBot="1">
      <c r="B76" s="275" t="s">
        <v>320</v>
      </c>
      <c r="C76" s="277"/>
      <c r="D76" s="277"/>
      <c r="E76" s="276">
        <f t="shared" ref="E76:L76" si="16">SUM(E72:E75)</f>
        <v>1101</v>
      </c>
      <c r="F76" s="276">
        <f t="shared" si="16"/>
        <v>3400</v>
      </c>
      <c r="G76" s="277">
        <f t="shared" si="16"/>
        <v>330.63470400000006</v>
      </c>
      <c r="H76" s="277">
        <f t="shared" si="16"/>
        <v>421.76319999999998</v>
      </c>
      <c r="I76" s="277">
        <f t="shared" si="16"/>
        <v>120.60000000000001</v>
      </c>
      <c r="J76" s="277">
        <f t="shared" si="16"/>
        <v>5.85</v>
      </c>
      <c r="K76" s="277">
        <f t="shared" si="16"/>
        <v>25</v>
      </c>
      <c r="L76" s="278">
        <f t="shared" si="16"/>
        <v>903.84790399999997</v>
      </c>
      <c r="M76" s="263"/>
      <c r="N76" s="264"/>
      <c r="O76" s="173"/>
      <c r="P76" s="173"/>
      <c r="Q76" s="264"/>
      <c r="R76" s="264"/>
      <c r="S76" s="271">
        <f>T76-L84</f>
        <v>80.076777600000128</v>
      </c>
      <c r="T76" s="271">
        <f>L84*1.1</f>
        <v>880.84455360000015</v>
      </c>
      <c r="U76" s="265">
        <v>1254.78</v>
      </c>
      <c r="V76" s="266">
        <f>U76/L84</f>
        <v>1.5669711464513276</v>
      </c>
      <c r="W76" s="264"/>
      <c r="X76" s="264"/>
      <c r="Y76" s="264"/>
      <c r="Z76" s="264"/>
      <c r="AA76" s="115"/>
      <c r="AB76" s="115"/>
      <c r="AC76" s="385"/>
      <c r="AD76" s="385"/>
      <c r="AE76" s="385"/>
      <c r="AF76" s="305"/>
      <c r="AG76" s="305"/>
      <c r="AH76" s="305"/>
      <c r="AI76" s="305"/>
      <c r="AJ76" s="305"/>
      <c r="AK76" s="305"/>
      <c r="AL76" s="307"/>
      <c r="AM76" s="300">
        <f t="shared" ref="AM76:AM81" si="17">AA76-AB76-AD76-AE76-AF76-AH76</f>
        <v>0</v>
      </c>
      <c r="AN76" s="269">
        <f t="shared" si="6"/>
        <v>0</v>
      </c>
      <c r="AO76" s="269">
        <f t="shared" si="12"/>
        <v>0</v>
      </c>
      <c r="AP76" s="270">
        <f t="shared" ref="AP76:AP90" si="18">(AM76+AL76+AH76)*0.3+(AG76+AF76+AE76+AD76)*0.6</f>
        <v>0</v>
      </c>
      <c r="AQ76" s="115"/>
      <c r="AR76" s="267"/>
      <c r="AS76" s="251"/>
      <c r="AT76" s="302">
        <f>AD76+AE76+AF76+AH76+AM76</f>
        <v>0</v>
      </c>
      <c r="AU76" s="132">
        <f t="shared" si="4"/>
        <v>0</v>
      </c>
      <c r="AV76" s="257"/>
    </row>
    <row r="77" spans="1:48" s="239" customFormat="1" ht="15">
      <c r="B77" s="309" t="s">
        <v>366</v>
      </c>
      <c r="C77" s="387"/>
      <c r="D77" s="387"/>
      <c r="E77" s="388"/>
      <c r="F77" s="388"/>
      <c r="G77" s="387"/>
      <c r="H77" s="387"/>
      <c r="I77" s="387"/>
      <c r="J77" s="387"/>
      <c r="K77" s="387"/>
      <c r="L77" s="389"/>
      <c r="M77" s="263"/>
      <c r="N77" s="264"/>
      <c r="O77" s="173"/>
      <c r="P77" s="173"/>
      <c r="Q77" s="264"/>
      <c r="R77" s="264"/>
      <c r="S77" s="271"/>
      <c r="T77" s="271"/>
      <c r="U77" s="265"/>
      <c r="V77" s="266"/>
      <c r="W77" s="264"/>
      <c r="X77" s="264"/>
      <c r="Y77" s="264"/>
      <c r="Z77" s="264"/>
      <c r="AA77" s="115"/>
      <c r="AB77" s="115"/>
      <c r="AC77" s="115"/>
      <c r="AD77" s="115"/>
      <c r="AE77" s="115"/>
      <c r="AF77" s="304"/>
      <c r="AG77" s="304"/>
      <c r="AH77" s="304"/>
      <c r="AI77" s="304"/>
      <c r="AJ77" s="304"/>
      <c r="AK77" s="304"/>
      <c r="AL77" s="321"/>
      <c r="AM77" s="269">
        <f t="shared" si="17"/>
        <v>0</v>
      </c>
      <c r="AN77" s="269">
        <f t="shared" si="6"/>
        <v>0</v>
      </c>
      <c r="AO77" s="269">
        <f t="shared" si="12"/>
        <v>0</v>
      </c>
      <c r="AP77" s="270">
        <f t="shared" si="18"/>
        <v>0</v>
      </c>
      <c r="AQ77" s="115">
        <f>F77-AP77</f>
        <v>0</v>
      </c>
      <c r="AR77" s="267"/>
      <c r="AS77" s="383"/>
      <c r="AT77" s="316">
        <f>AD77+AE77+AF77+AH77+AM77</f>
        <v>0</v>
      </c>
      <c r="AU77" s="132">
        <f t="shared" si="4"/>
        <v>0</v>
      </c>
      <c r="AV77" s="257"/>
    </row>
    <row r="78" spans="1:48" s="239" customFormat="1" ht="15" customHeight="1">
      <c r="A78" s="127">
        <v>70</v>
      </c>
      <c r="B78" s="240" t="s">
        <v>367</v>
      </c>
      <c r="C78" s="258">
        <v>9</v>
      </c>
      <c r="D78" s="259">
        <v>2</v>
      </c>
      <c r="E78" s="259">
        <v>540</v>
      </c>
      <c r="F78" s="259">
        <v>675</v>
      </c>
      <c r="G78" s="261">
        <f>E78*0.300304</f>
        <v>162.16416000000001</v>
      </c>
      <c r="H78" s="261">
        <f>F78*0.124048</f>
        <v>83.732399999999998</v>
      </c>
      <c r="I78" s="261">
        <f>40.2*D78</f>
        <v>80.400000000000006</v>
      </c>
      <c r="J78" s="261">
        <f>1.95*D78</f>
        <v>3.9</v>
      </c>
      <c r="K78" s="259"/>
      <c r="L78" s="262">
        <f>SUM(G78:K78)</f>
        <v>330.19655999999998</v>
      </c>
      <c r="M78" s="263">
        <f>E85</f>
        <v>0</v>
      </c>
      <c r="N78" s="173" t="e">
        <f>E85/C85</f>
        <v>#DIV/0!</v>
      </c>
      <c r="O78" s="173" t="e">
        <f>N78*3</f>
        <v>#DIV/0!</v>
      </c>
      <c r="P78" s="173" t="e">
        <f>E85-O78</f>
        <v>#DIV/0!</v>
      </c>
      <c r="Q78" s="174"/>
      <c r="R78" s="174"/>
      <c r="S78" s="174"/>
      <c r="T78" s="174"/>
      <c r="U78" s="175">
        <f>1.076*L85</f>
        <v>0</v>
      </c>
      <c r="V78" s="176"/>
      <c r="W78" s="174"/>
      <c r="X78" s="174"/>
      <c r="Y78" s="174"/>
      <c r="Z78" s="174"/>
      <c r="AA78" s="311">
        <v>1818.52</v>
      </c>
      <c r="AB78" s="314">
        <v>620</v>
      </c>
      <c r="AC78" s="314"/>
      <c r="AD78" s="558">
        <f>22+13+18+10</f>
        <v>63</v>
      </c>
      <c r="AE78" s="558">
        <v>90</v>
      </c>
      <c r="AF78" s="559">
        <f>43+516</f>
        <v>559</v>
      </c>
      <c r="AG78" s="559"/>
      <c r="AH78" s="324">
        <v>60</v>
      </c>
      <c r="AI78" s="324"/>
      <c r="AJ78" s="324"/>
      <c r="AK78" s="324"/>
      <c r="AL78" s="559"/>
      <c r="AM78" s="116">
        <f t="shared" si="17"/>
        <v>426.52</v>
      </c>
      <c r="AN78" s="268">
        <f t="shared" si="6"/>
        <v>1198.52</v>
      </c>
      <c r="AO78" s="269">
        <f t="shared" si="12"/>
        <v>1198.52</v>
      </c>
      <c r="AP78" s="270">
        <f t="shared" si="18"/>
        <v>573.15599999999995</v>
      </c>
      <c r="AQ78" s="115">
        <f>F78-AP78</f>
        <v>101.84400000000005</v>
      </c>
      <c r="AR78" s="303">
        <f>AP78*0.138562</f>
        <v>79.417641671999988</v>
      </c>
      <c r="AS78" s="556">
        <f>AM78+AH78</f>
        <v>486.52</v>
      </c>
      <c r="AT78" s="256">
        <f>AD78+AE78+AF78+AS78+AG78+AL78</f>
        <v>1198.52</v>
      </c>
      <c r="AU78" s="132">
        <f t="shared" si="4"/>
        <v>573.15599999999995</v>
      </c>
      <c r="AV78" s="257" t="s">
        <v>91</v>
      </c>
    </row>
    <row r="79" spans="1:48" s="239" customFormat="1" ht="15" customHeight="1">
      <c r="A79" s="127">
        <v>96</v>
      </c>
      <c r="B79" s="240" t="s">
        <v>368</v>
      </c>
      <c r="C79" s="258">
        <v>5</v>
      </c>
      <c r="D79" s="259">
        <v>6</v>
      </c>
      <c r="E79" s="259">
        <v>439</v>
      </c>
      <c r="F79" s="259">
        <v>2580</v>
      </c>
      <c r="G79" s="261">
        <f>E79*0.300304</f>
        <v>131.83345600000001</v>
      </c>
      <c r="H79" s="261">
        <f>F79*0.124048</f>
        <v>320.04383999999999</v>
      </c>
      <c r="I79" s="259"/>
      <c r="J79" s="259"/>
      <c r="K79" s="259"/>
      <c r="L79" s="262">
        <f>SUM(G79:K79)</f>
        <v>451.877296</v>
      </c>
      <c r="M79" s="263">
        <f>E86</f>
        <v>1250</v>
      </c>
      <c r="N79" s="173">
        <f>E86/C86</f>
        <v>138.88888888888889</v>
      </c>
      <c r="O79" s="173">
        <f>N79*3</f>
        <v>416.66666666666663</v>
      </c>
      <c r="P79" s="173">
        <f>E86-O79</f>
        <v>833.33333333333337</v>
      </c>
      <c r="Q79" s="174"/>
      <c r="R79" s="174"/>
      <c r="S79" s="174"/>
      <c r="T79" s="174"/>
      <c r="U79" s="175">
        <f>1.076*L86</f>
        <v>1215.3558588800001</v>
      </c>
      <c r="V79" s="176"/>
      <c r="W79" s="174"/>
      <c r="X79" s="174"/>
      <c r="Y79" s="174"/>
      <c r="Z79" s="174"/>
      <c r="AA79" s="311">
        <v>2835.4</v>
      </c>
      <c r="AB79" s="314">
        <v>972</v>
      </c>
      <c r="AC79" s="314"/>
      <c r="AD79" s="558">
        <f>81*2+12</f>
        <v>174</v>
      </c>
      <c r="AE79" s="558">
        <f>181+143.2</f>
        <v>324.2</v>
      </c>
      <c r="AF79" s="559">
        <f>669.7</f>
        <v>669.7</v>
      </c>
      <c r="AG79" s="559"/>
      <c r="AH79" s="324">
        <v>309.5</v>
      </c>
      <c r="AI79" s="324"/>
      <c r="AJ79" s="324"/>
      <c r="AK79" s="324"/>
      <c r="AL79" s="559">
        <v>1235</v>
      </c>
      <c r="AM79" s="116">
        <f t="shared" si="17"/>
        <v>386</v>
      </c>
      <c r="AN79" s="268">
        <f t="shared" si="6"/>
        <v>1863.4</v>
      </c>
      <c r="AO79" s="269">
        <f t="shared" si="12"/>
        <v>3098.4</v>
      </c>
      <c r="AP79" s="270">
        <f t="shared" si="18"/>
        <v>1279.8899999999999</v>
      </c>
      <c r="AQ79" s="115">
        <f>F79-AP79</f>
        <v>1300.1100000000001</v>
      </c>
      <c r="AR79" s="303">
        <f>AP79*0.138562</f>
        <v>177.34411817999998</v>
      </c>
      <c r="AS79" s="556">
        <f>AM79+AH79</f>
        <v>695.5</v>
      </c>
      <c r="AT79" s="256">
        <f>AD79+AE79+AF79+AS79+AG79+AL79</f>
        <v>3098.4</v>
      </c>
      <c r="AU79" s="132">
        <f t="shared" si="4"/>
        <v>1279.8899999999999</v>
      </c>
      <c r="AV79" s="257" t="s">
        <v>90</v>
      </c>
    </row>
    <row r="80" spans="1:48" s="239" customFormat="1" thickBot="1">
      <c r="B80" s="275" t="s">
        <v>320</v>
      </c>
      <c r="C80" s="277"/>
      <c r="D80" s="277"/>
      <c r="E80" s="276">
        <f t="shared" ref="E80:J80" si="19">SUM(E78:E79)</f>
        <v>979</v>
      </c>
      <c r="F80" s="276">
        <f t="shared" si="19"/>
        <v>3255</v>
      </c>
      <c r="G80" s="277">
        <f t="shared" si="19"/>
        <v>293.99761599999999</v>
      </c>
      <c r="H80" s="277">
        <f t="shared" si="19"/>
        <v>403.77623999999997</v>
      </c>
      <c r="I80" s="277">
        <f t="shared" si="19"/>
        <v>80.400000000000006</v>
      </c>
      <c r="J80" s="277">
        <f t="shared" si="19"/>
        <v>3.9</v>
      </c>
      <c r="K80" s="276"/>
      <c r="L80" s="278">
        <f>SUM(L78:L79)</f>
        <v>782.07385599999998</v>
      </c>
      <c r="M80" s="263">
        <f>E87</f>
        <v>788</v>
      </c>
      <c r="N80" s="173">
        <f>E87/C87</f>
        <v>87.555555555555557</v>
      </c>
      <c r="O80" s="173">
        <f>N80*3</f>
        <v>262.66666666666669</v>
      </c>
      <c r="P80" s="173">
        <f>E87-O80</f>
        <v>525.33333333333326</v>
      </c>
      <c r="Q80" s="264"/>
      <c r="R80" s="264"/>
      <c r="S80" s="264"/>
      <c r="T80" s="264"/>
      <c r="U80" s="265">
        <f>1.0599*L87</f>
        <v>868.7073014688001</v>
      </c>
      <c r="V80" s="266"/>
      <c r="W80" s="264"/>
      <c r="X80" s="264"/>
      <c r="Y80" s="264"/>
      <c r="Z80" s="264"/>
      <c r="AA80" s="115"/>
      <c r="AB80" s="115"/>
      <c r="AC80" s="385"/>
      <c r="AD80" s="385"/>
      <c r="AE80" s="385"/>
      <c r="AF80" s="385"/>
      <c r="AG80" s="385"/>
      <c r="AH80" s="385"/>
      <c r="AI80" s="385"/>
      <c r="AJ80" s="385"/>
      <c r="AK80" s="385"/>
      <c r="AL80" s="307"/>
      <c r="AM80" s="300">
        <f t="shared" si="17"/>
        <v>0</v>
      </c>
      <c r="AN80" s="269">
        <f t="shared" si="6"/>
        <v>0</v>
      </c>
      <c r="AO80" s="269">
        <f t="shared" si="12"/>
        <v>0</v>
      </c>
      <c r="AP80" s="270">
        <f t="shared" si="18"/>
        <v>0</v>
      </c>
      <c r="AQ80" s="115"/>
      <c r="AR80" s="267"/>
      <c r="AS80" s="251"/>
      <c r="AT80" s="302">
        <f>AD80+AE80+AF80+AH80+AM80</f>
        <v>0</v>
      </c>
      <c r="AU80" s="132">
        <f t="shared" si="4"/>
        <v>0</v>
      </c>
      <c r="AV80" s="257"/>
    </row>
    <row r="81" spans="1:48" s="239" customFormat="1" ht="15">
      <c r="B81" s="309" t="s">
        <v>369</v>
      </c>
      <c r="C81" s="242"/>
      <c r="D81" s="242"/>
      <c r="E81" s="242"/>
      <c r="F81" s="242"/>
      <c r="G81" s="242"/>
      <c r="H81" s="242"/>
      <c r="I81" s="242"/>
      <c r="J81" s="242"/>
      <c r="K81" s="242"/>
      <c r="L81" s="386"/>
      <c r="M81" s="263"/>
      <c r="N81" s="264"/>
      <c r="O81" s="173"/>
      <c r="P81" s="173"/>
      <c r="Q81" s="264"/>
      <c r="R81" s="264"/>
      <c r="S81" s="271">
        <f>T81-L88</f>
        <v>194.91253920000008</v>
      </c>
      <c r="T81" s="271">
        <f>L88*1.1</f>
        <v>2144.0379312</v>
      </c>
      <c r="U81" s="265">
        <v>1222.19</v>
      </c>
      <c r="V81" s="266">
        <f>U81/L88</f>
        <v>0.62704534301198012</v>
      </c>
      <c r="W81" s="264"/>
      <c r="X81" s="264"/>
      <c r="Y81" s="264"/>
      <c r="Z81" s="264"/>
      <c r="AA81" s="115"/>
      <c r="AB81" s="115"/>
      <c r="AC81" s="115"/>
      <c r="AD81" s="115"/>
      <c r="AE81" s="115"/>
      <c r="AF81" s="304"/>
      <c r="AG81" s="304"/>
      <c r="AH81" s="304"/>
      <c r="AI81" s="304"/>
      <c r="AJ81" s="304"/>
      <c r="AK81" s="304"/>
      <c r="AL81" s="321"/>
      <c r="AM81" s="269">
        <f t="shared" si="17"/>
        <v>0</v>
      </c>
      <c r="AN81" s="269">
        <f t="shared" si="6"/>
        <v>0</v>
      </c>
      <c r="AO81" s="269">
        <f t="shared" si="12"/>
        <v>0</v>
      </c>
      <c r="AP81" s="270">
        <f t="shared" si="18"/>
        <v>0</v>
      </c>
      <c r="AQ81" s="115">
        <f>F81-AP81</f>
        <v>0</v>
      </c>
      <c r="AR81" s="267"/>
      <c r="AS81" s="383"/>
      <c r="AT81" s="316">
        <f>AD81+AE81+AF81+AH81+AM81</f>
        <v>0</v>
      </c>
      <c r="AU81" s="132">
        <f t="shared" si="4"/>
        <v>0</v>
      </c>
      <c r="AV81" s="257"/>
    </row>
    <row r="82" spans="1:48" s="239" customFormat="1" ht="15" customHeight="1">
      <c r="A82" s="135">
        <v>60</v>
      </c>
      <c r="B82" s="240" t="s">
        <v>370</v>
      </c>
      <c r="C82" s="272">
        <v>5</v>
      </c>
      <c r="D82" s="260">
        <v>4</v>
      </c>
      <c r="E82" s="260">
        <v>273</v>
      </c>
      <c r="F82" s="260">
        <v>1532</v>
      </c>
      <c r="G82" s="261">
        <f>E82*0.300304</f>
        <v>81.98299200000001</v>
      </c>
      <c r="H82" s="261">
        <f>F82*0.124048</f>
        <v>190.04153600000001</v>
      </c>
      <c r="I82" s="273"/>
      <c r="J82" s="273"/>
      <c r="K82" s="274"/>
      <c r="L82" s="262">
        <f>G82+H82+I82+J82+K82</f>
        <v>272.02452800000003</v>
      </c>
      <c r="M82" s="263">
        <f>E82</f>
        <v>273</v>
      </c>
      <c r="N82" s="173">
        <f>E82/C82</f>
        <v>54.6</v>
      </c>
      <c r="O82" s="173">
        <f t="shared" ref="O82:O88" si="20">N82*3</f>
        <v>163.80000000000001</v>
      </c>
      <c r="P82" s="173">
        <f>E82-O82</f>
        <v>109.19999999999999</v>
      </c>
      <c r="Q82" s="271"/>
      <c r="R82" s="271"/>
      <c r="S82" s="271"/>
      <c r="T82" s="271"/>
      <c r="U82" s="265">
        <f>1.1588*L82</f>
        <v>315.22202304640007</v>
      </c>
      <c r="V82" s="266"/>
      <c r="W82" s="271"/>
      <c r="X82" s="271"/>
      <c r="Y82" s="271"/>
      <c r="Z82" s="271"/>
      <c r="AA82" s="304"/>
      <c r="AB82" s="303"/>
      <c r="AC82" s="303"/>
      <c r="AD82" s="556">
        <f>(57+12)*2</f>
        <v>138</v>
      </c>
      <c r="AE82" s="556">
        <f>5*4*4</f>
        <v>80</v>
      </c>
      <c r="AF82" s="557">
        <f>3.7*96+8*15+1.5*12</f>
        <v>493.20000000000005</v>
      </c>
      <c r="AG82" s="557"/>
      <c r="AH82" s="116">
        <f>9*4*5</f>
        <v>180</v>
      </c>
      <c r="AI82" s="116"/>
      <c r="AJ82" s="116"/>
      <c r="AK82" s="116"/>
      <c r="AL82" s="557"/>
      <c r="AM82" s="116">
        <f>68*3+20*18+100+200+8*60</f>
        <v>1344</v>
      </c>
      <c r="AN82" s="268">
        <f t="shared" si="6"/>
        <v>0</v>
      </c>
      <c r="AO82" s="269">
        <f t="shared" si="12"/>
        <v>2235.1999999999998</v>
      </c>
      <c r="AP82" s="270">
        <f t="shared" si="18"/>
        <v>883.92000000000007</v>
      </c>
      <c r="AQ82" s="115">
        <f>F82-AP82</f>
        <v>648.07999999999993</v>
      </c>
      <c r="AR82" s="303"/>
      <c r="AS82" s="556">
        <f>AM82+AH82</f>
        <v>1524</v>
      </c>
      <c r="AT82" s="256">
        <f>AD82+AE82+AF82+AS82+AG82+AL82</f>
        <v>2235.1999999999998</v>
      </c>
      <c r="AU82" s="132">
        <f t="shared" si="4"/>
        <v>883.92000000000007</v>
      </c>
      <c r="AV82" s="257" t="s">
        <v>92</v>
      </c>
    </row>
    <row r="83" spans="1:48" s="239" customFormat="1" ht="15" customHeight="1">
      <c r="A83" s="325">
        <v>90</v>
      </c>
      <c r="B83" s="390" t="s">
        <v>371</v>
      </c>
      <c r="C83" s="272">
        <v>9</v>
      </c>
      <c r="D83" s="260">
        <v>2</v>
      </c>
      <c r="E83" s="260">
        <v>912</v>
      </c>
      <c r="F83" s="260">
        <v>1375</v>
      </c>
      <c r="G83" s="261">
        <f>E83*0.300304</f>
        <v>273.87724800000001</v>
      </c>
      <c r="H83" s="261">
        <f>F83*0.124048</f>
        <v>170.566</v>
      </c>
      <c r="I83" s="261">
        <f>40.2*D83</f>
        <v>80.400000000000006</v>
      </c>
      <c r="J83" s="261">
        <f>1.95*D83</f>
        <v>3.9</v>
      </c>
      <c r="K83" s="259"/>
      <c r="L83" s="262">
        <f>G83+H83+I83+J83+K83</f>
        <v>528.74324799999999</v>
      </c>
      <c r="M83" s="263">
        <f>E83</f>
        <v>912</v>
      </c>
      <c r="N83" s="173">
        <f>E83/C83</f>
        <v>101.33333333333333</v>
      </c>
      <c r="O83" s="173">
        <f t="shared" si="20"/>
        <v>304</v>
      </c>
      <c r="P83" s="173">
        <f>E83-O83</f>
        <v>608</v>
      </c>
      <c r="Q83" s="329"/>
      <c r="R83" s="329"/>
      <c r="S83" s="329"/>
      <c r="T83" s="329"/>
      <c r="U83" s="329">
        <f>1.0658*L83</f>
        <v>563.53455371840005</v>
      </c>
      <c r="V83" s="330"/>
      <c r="W83" s="329"/>
      <c r="X83" s="329"/>
      <c r="Y83" s="329"/>
      <c r="Z83" s="329"/>
      <c r="AA83" s="331"/>
      <c r="AB83" s="333"/>
      <c r="AC83" s="333"/>
      <c r="AD83" s="556">
        <f>14+16+60+60</f>
        <v>150</v>
      </c>
      <c r="AE83" s="556">
        <f>6*3*2+8*3*2</f>
        <v>84</v>
      </c>
      <c r="AF83" s="557">
        <f>28*1.5+(70*6)+70+27+74*3+20*6+5*10+1.5*4+6*7+6*15</f>
        <v>1089</v>
      </c>
      <c r="AG83" s="557"/>
      <c r="AH83" s="116">
        <f>22*3+20*5+17*3+8*16+18*5+22*5</f>
        <v>545</v>
      </c>
      <c r="AI83" s="116"/>
      <c r="AJ83" s="116"/>
      <c r="AK83" s="116"/>
      <c r="AL83" s="557"/>
      <c r="AM83" s="116">
        <f>4*14+5*6+4*6+60+30+18*26-42+15*16+8*12</f>
        <v>962</v>
      </c>
      <c r="AN83" s="268">
        <f t="shared" si="6"/>
        <v>0</v>
      </c>
      <c r="AO83" s="269">
        <f t="shared" ref="AO83:AO92" si="21">AD83+AE83+AF83+AG83+AH83+AL83+AM83</f>
        <v>2830</v>
      </c>
      <c r="AP83" s="270">
        <f t="shared" si="18"/>
        <v>1245.8999999999999</v>
      </c>
      <c r="AQ83" s="115">
        <f>F83-AP83</f>
        <v>129.10000000000014</v>
      </c>
      <c r="AR83" s="333"/>
      <c r="AS83" s="556">
        <f>AM83+AH83</f>
        <v>1507</v>
      </c>
      <c r="AT83" s="256">
        <f>AD83+AE83+AF83+AS83+AG83+AL83</f>
        <v>2830</v>
      </c>
      <c r="AU83" s="132">
        <f t="shared" ref="AU83:AU146" si="22">(AD83+AE83+AF83+AG83)*0.6+(AH83+AM83+AL83)*0.3</f>
        <v>1245.8999999999999</v>
      </c>
      <c r="AV83" s="257" t="s">
        <v>372</v>
      </c>
    </row>
    <row r="84" spans="1:48" s="239" customFormat="1" thickBot="1">
      <c r="B84" s="275" t="s">
        <v>320</v>
      </c>
      <c r="C84" s="391"/>
      <c r="D84" s="391"/>
      <c r="E84" s="276">
        <f t="shared" ref="E84:L84" si="23">SUM(E82:E83)</f>
        <v>1185</v>
      </c>
      <c r="F84" s="276">
        <f t="shared" si="23"/>
        <v>2907</v>
      </c>
      <c r="G84" s="277">
        <f t="shared" si="23"/>
        <v>355.86024000000003</v>
      </c>
      <c r="H84" s="277">
        <f t="shared" si="23"/>
        <v>360.60753599999998</v>
      </c>
      <c r="I84" s="277">
        <f t="shared" si="23"/>
        <v>80.400000000000006</v>
      </c>
      <c r="J84" s="277">
        <f t="shared" si="23"/>
        <v>3.9</v>
      </c>
      <c r="K84" s="276">
        <f t="shared" si="23"/>
        <v>0</v>
      </c>
      <c r="L84" s="278">
        <f t="shared" si="23"/>
        <v>800.76777600000003</v>
      </c>
      <c r="M84" s="263">
        <f>E91</f>
        <v>563</v>
      </c>
      <c r="N84" s="173">
        <f>E91/C91</f>
        <v>112.6</v>
      </c>
      <c r="O84" s="173">
        <f t="shared" si="20"/>
        <v>337.79999999999995</v>
      </c>
      <c r="P84" s="173">
        <f>E91-O84</f>
        <v>225.20000000000005</v>
      </c>
      <c r="Q84" s="264"/>
      <c r="R84" s="264"/>
      <c r="S84" s="264"/>
      <c r="T84" s="264"/>
      <c r="U84" s="265">
        <f>L91*1.055</f>
        <v>499.65748656000005</v>
      </c>
      <c r="V84" s="266"/>
      <c r="W84" s="264"/>
      <c r="X84" s="264"/>
      <c r="Y84" s="264"/>
      <c r="Z84" s="264"/>
      <c r="AA84" s="115"/>
      <c r="AB84" s="115"/>
      <c r="AC84" s="385"/>
      <c r="AD84" s="385"/>
      <c r="AE84" s="385"/>
      <c r="AF84" s="385"/>
      <c r="AG84" s="385"/>
      <c r="AH84" s="385"/>
      <c r="AI84" s="385"/>
      <c r="AJ84" s="385"/>
      <c r="AK84" s="385"/>
      <c r="AL84" s="307"/>
      <c r="AM84" s="300">
        <f>AA84-AB84-AD84-AE84-AF84-AH84</f>
        <v>0</v>
      </c>
      <c r="AN84" s="269">
        <f t="shared" si="6"/>
        <v>0</v>
      </c>
      <c r="AO84" s="269">
        <f t="shared" si="21"/>
        <v>0</v>
      </c>
      <c r="AP84" s="270">
        <f t="shared" si="18"/>
        <v>0</v>
      </c>
      <c r="AQ84" s="115"/>
      <c r="AR84" s="267"/>
      <c r="AS84" s="251"/>
      <c r="AT84" s="302">
        <f>AD84+AE84+AF84+AH84+AM84</f>
        <v>0</v>
      </c>
      <c r="AU84" s="132">
        <f t="shared" si="22"/>
        <v>0</v>
      </c>
      <c r="AV84" s="257"/>
    </row>
    <row r="85" spans="1:48" s="239" customFormat="1" ht="15">
      <c r="B85" s="309" t="s">
        <v>373</v>
      </c>
      <c r="C85" s="243"/>
      <c r="D85" s="243"/>
      <c r="E85" s="242"/>
      <c r="F85" s="242"/>
      <c r="G85" s="242"/>
      <c r="H85" s="242"/>
      <c r="I85" s="242"/>
      <c r="J85" s="242"/>
      <c r="K85" s="242"/>
      <c r="L85" s="386"/>
      <c r="M85" s="263">
        <f>E92</f>
        <v>947</v>
      </c>
      <c r="N85" s="173">
        <f>E92/C92</f>
        <v>105.22222222222223</v>
      </c>
      <c r="O85" s="173">
        <f t="shared" si="20"/>
        <v>315.66666666666669</v>
      </c>
      <c r="P85" s="173">
        <f>E92-O85</f>
        <v>631.33333333333326</v>
      </c>
      <c r="Q85" s="264"/>
      <c r="R85" s="264"/>
      <c r="S85" s="264"/>
      <c r="T85" s="264"/>
      <c r="U85" s="265">
        <f>L92*1.055</f>
        <v>665.72935784000003</v>
      </c>
      <c r="V85" s="266"/>
      <c r="W85" s="264"/>
      <c r="X85" s="264"/>
      <c r="Y85" s="264"/>
      <c r="Z85" s="264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321"/>
      <c r="AM85" s="269">
        <f>AA85-AB85-AD85-AE85-AF85-AH85</f>
        <v>0</v>
      </c>
      <c r="AN85" s="269">
        <f t="shared" si="6"/>
        <v>0</v>
      </c>
      <c r="AO85" s="269">
        <f t="shared" si="21"/>
        <v>0</v>
      </c>
      <c r="AP85" s="270">
        <f t="shared" si="18"/>
        <v>0</v>
      </c>
      <c r="AQ85" s="115">
        <f>F85-AP85</f>
        <v>0</v>
      </c>
      <c r="AR85" s="267"/>
      <c r="AS85" s="383"/>
      <c r="AT85" s="316">
        <f>AD85+AE85+AF85+AH85+AM85</f>
        <v>0</v>
      </c>
      <c r="AU85" s="132">
        <f t="shared" si="22"/>
        <v>0</v>
      </c>
      <c r="AV85" s="257"/>
    </row>
    <row r="86" spans="1:48" s="239" customFormat="1" ht="15" customHeight="1">
      <c r="A86" s="325">
        <v>126</v>
      </c>
      <c r="B86" s="390" t="s">
        <v>374</v>
      </c>
      <c r="C86" s="272">
        <v>9</v>
      </c>
      <c r="D86" s="260">
        <v>3</v>
      </c>
      <c r="E86" s="260">
        <v>1250</v>
      </c>
      <c r="F86" s="260">
        <v>5060</v>
      </c>
      <c r="G86" s="261">
        <f>E86*0.300304</f>
        <v>375.38</v>
      </c>
      <c r="H86" s="261">
        <f>F86*0.124048</f>
        <v>627.68288000000007</v>
      </c>
      <c r="I86" s="261">
        <f>40.2*D86</f>
        <v>120.60000000000001</v>
      </c>
      <c r="J86" s="261">
        <f>1.95*D86</f>
        <v>5.85</v>
      </c>
      <c r="K86" s="260"/>
      <c r="L86" s="262">
        <f>G86+H86+I86+J86+K86</f>
        <v>1129.51288</v>
      </c>
      <c r="M86" s="263">
        <f>E86</f>
        <v>1250</v>
      </c>
      <c r="N86" s="173">
        <f>E86/C86</f>
        <v>138.88888888888889</v>
      </c>
      <c r="O86" s="173">
        <f t="shared" si="20"/>
        <v>416.66666666666663</v>
      </c>
      <c r="P86" s="173">
        <f>E86-O86</f>
        <v>833.33333333333337</v>
      </c>
      <c r="Q86" s="329"/>
      <c r="R86" s="329"/>
      <c r="S86" s="329"/>
      <c r="T86" s="329"/>
      <c r="U86" s="329">
        <f>0.994*L86</f>
        <v>1122.73580272</v>
      </c>
      <c r="V86" s="330"/>
      <c r="W86" s="329"/>
      <c r="X86" s="329"/>
      <c r="Y86" s="329"/>
      <c r="Z86" s="329"/>
      <c r="AA86" s="331"/>
      <c r="AB86" s="333"/>
      <c r="AC86" s="333"/>
      <c r="AD86" s="556">
        <f>49+47+6+4</f>
        <v>106</v>
      </c>
      <c r="AE86" s="556">
        <f>6*3+4*6+4*7+5*4+3*5*2</f>
        <v>120</v>
      </c>
      <c r="AF86" s="557">
        <f>15*27+3*9+2.2*44+12*6/2+4*4+12*25+16*4+23*2+40*4+17*8+15*9+8+4*12+20+3*3.5+3*38+10</f>
        <v>1632.3</v>
      </c>
      <c r="AG86" s="557"/>
      <c r="AH86" s="116">
        <f>5*5.5+9*4+16*5+5*16+12*3+5*17</f>
        <v>344.5</v>
      </c>
      <c r="AI86" s="116"/>
      <c r="AJ86" s="116"/>
      <c r="AK86" s="116"/>
      <c r="AL86" s="557"/>
      <c r="AM86" s="116">
        <f>15*2+5*10+12*4+6*5+13*28-15+6*1.5+6*25+26*8+28*4-8+28*8+12*22+5*12+13*10-20+6*20+18*5+3*1.5+12*32</f>
        <v>2234.5</v>
      </c>
      <c r="AN86" s="268">
        <f t="shared" si="6"/>
        <v>0</v>
      </c>
      <c r="AO86" s="269">
        <f t="shared" si="21"/>
        <v>4437.3</v>
      </c>
      <c r="AP86" s="270">
        <f t="shared" si="18"/>
        <v>1888.6799999999998</v>
      </c>
      <c r="AQ86" s="115">
        <f>F86-AP86</f>
        <v>3171.32</v>
      </c>
      <c r="AR86" s="333"/>
      <c r="AS86" s="556">
        <f>AM86+AH86</f>
        <v>2579</v>
      </c>
      <c r="AT86" s="256">
        <f>AD86+AE86+AF86+AS86+AG86+AL86</f>
        <v>4437.3</v>
      </c>
      <c r="AU86" s="132">
        <f t="shared" si="22"/>
        <v>1888.6799999999998</v>
      </c>
      <c r="AV86" s="257" t="s">
        <v>94</v>
      </c>
    </row>
    <row r="87" spans="1:48" s="239" customFormat="1" ht="15" customHeight="1">
      <c r="A87" s="325">
        <v>72</v>
      </c>
      <c r="B87" s="390" t="s">
        <v>375</v>
      </c>
      <c r="C87" s="272">
        <v>9</v>
      </c>
      <c r="D87" s="260">
        <v>2</v>
      </c>
      <c r="E87" s="260">
        <v>788</v>
      </c>
      <c r="F87" s="260">
        <v>4020</v>
      </c>
      <c r="G87" s="261">
        <f>E87*0.300304</f>
        <v>236.63955200000001</v>
      </c>
      <c r="H87" s="261">
        <f>F87*0.124048</f>
        <v>498.67296000000005</v>
      </c>
      <c r="I87" s="261">
        <f>40.2*D87</f>
        <v>80.400000000000006</v>
      </c>
      <c r="J87" s="261">
        <f>1.95*D87</f>
        <v>3.9</v>
      </c>
      <c r="K87" s="260"/>
      <c r="L87" s="262">
        <f>G87+H87+I87+J87+K87</f>
        <v>819.61251200000004</v>
      </c>
      <c r="M87" s="263">
        <f>E87</f>
        <v>788</v>
      </c>
      <c r="N87" s="173">
        <f>E87/C87</f>
        <v>87.555555555555557</v>
      </c>
      <c r="O87" s="173">
        <f t="shared" si="20"/>
        <v>262.66666666666669</v>
      </c>
      <c r="P87" s="173">
        <f>E87-O87</f>
        <v>525.33333333333326</v>
      </c>
      <c r="Q87" s="329"/>
      <c r="R87" s="329"/>
      <c r="S87" s="329"/>
      <c r="T87" s="329"/>
      <c r="U87" s="329">
        <f>0.994*L87</f>
        <v>814.69483692800009</v>
      </c>
      <c r="V87" s="330"/>
      <c r="W87" s="329"/>
      <c r="X87" s="329"/>
      <c r="Y87" s="329"/>
      <c r="Z87" s="329"/>
      <c r="AA87" s="331"/>
      <c r="AB87" s="333"/>
      <c r="AC87" s="333"/>
      <c r="AD87" s="556">
        <f>40+40+13+4+7</f>
        <v>104</v>
      </c>
      <c r="AE87" s="556">
        <f>4*3*2+5*5*2</f>
        <v>74</v>
      </c>
      <c r="AF87" s="557">
        <f>4*19+4*11+56*2.5+6*16+20+6+8*24+6+15+3*3.5+2*6</f>
        <v>617.5</v>
      </c>
      <c r="AG87" s="557"/>
      <c r="AH87" s="116"/>
      <c r="AI87" s="116"/>
      <c r="AJ87" s="116"/>
      <c r="AK87" s="116"/>
      <c r="AL87" s="557"/>
      <c r="AM87" s="116">
        <f>20*36-20*6-10*22+5*25-6+28*11+8*5+5*19+19*6</f>
        <v>1056</v>
      </c>
      <c r="AN87" s="268">
        <f t="shared" si="6"/>
        <v>0</v>
      </c>
      <c r="AO87" s="269">
        <f t="shared" si="21"/>
        <v>1851.5</v>
      </c>
      <c r="AP87" s="270">
        <f t="shared" si="18"/>
        <v>794.09999999999991</v>
      </c>
      <c r="AQ87" s="115">
        <f>F87-AP87</f>
        <v>3225.9</v>
      </c>
      <c r="AR87" s="333"/>
      <c r="AS87" s="556">
        <f>AM87+AH87</f>
        <v>1056</v>
      </c>
      <c r="AT87" s="256">
        <f>AD87+AE87+AF87+AS87+AG87+AL87</f>
        <v>1851.5</v>
      </c>
      <c r="AU87" s="132">
        <f t="shared" si="22"/>
        <v>794.09999999999991</v>
      </c>
      <c r="AV87" s="257" t="s">
        <v>93</v>
      </c>
    </row>
    <row r="88" spans="1:48" s="239" customFormat="1" thickBot="1">
      <c r="B88" s="275" t="s">
        <v>320</v>
      </c>
      <c r="C88" s="277"/>
      <c r="D88" s="277"/>
      <c r="E88" s="276">
        <f t="shared" ref="E88:L88" si="24">SUM(E86:E87)</f>
        <v>2038</v>
      </c>
      <c r="F88" s="276">
        <f t="shared" si="24"/>
        <v>9080</v>
      </c>
      <c r="G88" s="277">
        <f t="shared" si="24"/>
        <v>612.01955199999998</v>
      </c>
      <c r="H88" s="277">
        <f t="shared" si="24"/>
        <v>1126.3558400000002</v>
      </c>
      <c r="I88" s="277">
        <f t="shared" si="24"/>
        <v>201</v>
      </c>
      <c r="J88" s="277">
        <f t="shared" si="24"/>
        <v>9.75</v>
      </c>
      <c r="K88" s="276">
        <f t="shared" si="24"/>
        <v>0</v>
      </c>
      <c r="L88" s="278">
        <f t="shared" si="24"/>
        <v>1949.1253919999999</v>
      </c>
      <c r="M88" s="263">
        <f>E95</f>
        <v>300</v>
      </c>
      <c r="N88" s="173">
        <f>E95/C95</f>
        <v>60</v>
      </c>
      <c r="O88" s="173">
        <f t="shared" si="20"/>
        <v>180</v>
      </c>
      <c r="P88" s="173">
        <f>E95-O88</f>
        <v>120</v>
      </c>
      <c r="Q88" s="264"/>
      <c r="R88" s="264"/>
      <c r="S88" s="271">
        <f>T88-L95</f>
        <v>37.559200000000033</v>
      </c>
      <c r="T88" s="271">
        <f>L95*1.1</f>
        <v>413.15120000000007</v>
      </c>
      <c r="U88" s="265">
        <v>1388.26</v>
      </c>
      <c r="V88" s="266"/>
      <c r="W88" s="264"/>
      <c r="X88" s="264"/>
      <c r="Y88" s="264"/>
      <c r="Z88" s="264"/>
      <c r="AA88" s="115"/>
      <c r="AB88" s="115"/>
      <c r="AC88" s="385"/>
      <c r="AD88" s="385"/>
      <c r="AE88" s="385"/>
      <c r="AF88" s="305"/>
      <c r="AG88" s="305"/>
      <c r="AH88" s="305"/>
      <c r="AI88" s="305"/>
      <c r="AJ88" s="305"/>
      <c r="AK88" s="305"/>
      <c r="AL88" s="307"/>
      <c r="AM88" s="300">
        <f>AA88-AB88-AD88-AE88-AF88-AH88</f>
        <v>0</v>
      </c>
      <c r="AN88" s="269">
        <f t="shared" si="6"/>
        <v>0</v>
      </c>
      <c r="AO88" s="269">
        <f t="shared" si="21"/>
        <v>0</v>
      </c>
      <c r="AP88" s="270">
        <f t="shared" si="18"/>
        <v>0</v>
      </c>
      <c r="AQ88" s="115"/>
      <c r="AR88" s="267"/>
      <c r="AS88" s="251"/>
      <c r="AT88" s="302">
        <f>AD88+AE88+AF88+AH88+AM88</f>
        <v>0</v>
      </c>
      <c r="AU88" s="132">
        <f t="shared" si="22"/>
        <v>0</v>
      </c>
      <c r="AV88" s="257"/>
    </row>
    <row r="89" spans="1:48" ht="15">
      <c r="B89" s="309" t="s">
        <v>376</v>
      </c>
      <c r="C89" s="243"/>
      <c r="D89" s="243"/>
      <c r="E89" s="242"/>
      <c r="F89" s="242"/>
      <c r="G89" s="242"/>
      <c r="H89" s="242"/>
      <c r="I89" s="242"/>
      <c r="J89" s="242"/>
      <c r="K89" s="242"/>
      <c r="L89" s="386"/>
      <c r="M89" s="263">
        <f>E96</f>
        <v>0</v>
      </c>
      <c r="N89" s="173"/>
      <c r="O89" s="173"/>
      <c r="P89" s="173"/>
      <c r="Q89" s="174"/>
      <c r="R89" s="174"/>
      <c r="S89" s="174"/>
      <c r="T89" s="174"/>
      <c r="U89" s="175"/>
      <c r="V89" s="176"/>
      <c r="W89" s="174"/>
      <c r="X89" s="174"/>
      <c r="Y89" s="174"/>
      <c r="Z89" s="174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3"/>
      <c r="AM89" s="269">
        <f>AA89-AB89-AD89-AE89-AF89-AH89</f>
        <v>0</v>
      </c>
      <c r="AN89" s="269">
        <f t="shared" si="6"/>
        <v>0</v>
      </c>
      <c r="AO89" s="269">
        <f t="shared" si="21"/>
        <v>0</v>
      </c>
      <c r="AP89" s="270">
        <f t="shared" si="18"/>
        <v>0</v>
      </c>
      <c r="AQ89" s="115">
        <f>F89-AP89</f>
        <v>0</v>
      </c>
      <c r="AR89" s="314"/>
      <c r="AS89" s="315"/>
      <c r="AT89" s="316">
        <f>AD89+AE89+AF89+AH89+AM89</f>
        <v>0</v>
      </c>
      <c r="AU89" s="132">
        <f t="shared" si="22"/>
        <v>0</v>
      </c>
      <c r="AV89" s="257"/>
    </row>
    <row r="90" spans="1:48" ht="15" customHeight="1">
      <c r="A90" s="239">
        <v>129</v>
      </c>
      <c r="B90" s="240" t="s">
        <v>377</v>
      </c>
      <c r="C90" s="258">
        <v>5</v>
      </c>
      <c r="D90" s="259">
        <v>8</v>
      </c>
      <c r="E90" s="259">
        <v>523</v>
      </c>
      <c r="F90" s="259">
        <v>3321</v>
      </c>
      <c r="G90" s="261">
        <f>E90*0.300304</f>
        <v>157.05899200000002</v>
      </c>
      <c r="H90" s="261">
        <f>F90*0.124048</f>
        <v>411.96340800000002</v>
      </c>
      <c r="I90" s="259"/>
      <c r="J90" s="259"/>
      <c r="K90" s="259">
        <v>25</v>
      </c>
      <c r="L90" s="262">
        <f>SUM(G90:K90)</f>
        <v>594.02240000000006</v>
      </c>
      <c r="M90" s="263">
        <f>E97</f>
        <v>276</v>
      </c>
      <c r="N90" s="264"/>
      <c r="O90" s="173"/>
      <c r="P90" s="173"/>
      <c r="Q90" s="264"/>
      <c r="R90" s="264"/>
      <c r="S90" s="264"/>
      <c r="T90" s="264"/>
      <c r="U90" s="265"/>
      <c r="V90" s="266"/>
      <c r="W90" s="264"/>
      <c r="X90" s="264"/>
      <c r="Y90" s="264"/>
      <c r="Z90" s="264"/>
      <c r="AA90" s="115"/>
      <c r="AB90" s="267"/>
      <c r="AC90" s="267"/>
      <c r="AD90" s="556">
        <v>284</v>
      </c>
      <c r="AE90" s="556">
        <f>4*3*8</f>
        <v>96</v>
      </c>
      <c r="AF90" s="557">
        <f>130*3+12*3+4*14</f>
        <v>482</v>
      </c>
      <c r="AG90" s="557">
        <f>12*2</f>
        <v>24</v>
      </c>
      <c r="AH90" s="118">
        <f>10*4*2+14*4+6</f>
        <v>142</v>
      </c>
      <c r="AI90" s="118"/>
      <c r="AJ90" s="118"/>
      <c r="AK90" s="118"/>
      <c r="AL90" s="557"/>
      <c r="AM90" s="116">
        <f>10*14+6*130+16*130+4*18+14*18</f>
        <v>3324</v>
      </c>
      <c r="AN90" s="268">
        <f>AA90-AB90</f>
        <v>0</v>
      </c>
      <c r="AO90" s="269">
        <f t="shared" si="21"/>
        <v>4352</v>
      </c>
      <c r="AP90" s="270">
        <f t="shared" si="18"/>
        <v>1571.4</v>
      </c>
      <c r="AQ90" s="115">
        <f>F90-AP90</f>
        <v>1749.6</v>
      </c>
      <c r="AR90" s="267"/>
      <c r="AS90" s="556">
        <f>AM90+AH90</f>
        <v>3466</v>
      </c>
      <c r="AT90" s="256">
        <f>AD90+AE90+AF90+AS90+AG90+AL90</f>
        <v>4352</v>
      </c>
      <c r="AU90" s="132">
        <f t="shared" si="22"/>
        <v>1571.4</v>
      </c>
      <c r="AV90" s="257" t="s">
        <v>99</v>
      </c>
    </row>
    <row r="91" spans="1:48" ht="15" customHeight="1">
      <c r="A91" s="239">
        <v>119</v>
      </c>
      <c r="B91" s="240" t="s">
        <v>378</v>
      </c>
      <c r="C91" s="258">
        <v>5</v>
      </c>
      <c r="D91" s="260">
        <v>8</v>
      </c>
      <c r="E91" s="260">
        <v>563</v>
      </c>
      <c r="F91" s="260">
        <v>2455</v>
      </c>
      <c r="G91" s="261">
        <f>E91*0.300304</f>
        <v>169.07115200000001</v>
      </c>
      <c r="H91" s="261">
        <f>F91*0.124048</f>
        <v>304.53784000000002</v>
      </c>
      <c r="I91" s="259"/>
      <c r="J91" s="259"/>
      <c r="K91" s="259"/>
      <c r="L91" s="262">
        <f>SUM(G91:K91)</f>
        <v>473.60899200000006</v>
      </c>
      <c r="M91" s="263"/>
      <c r="N91" s="264"/>
      <c r="O91" s="173"/>
      <c r="P91" s="173"/>
      <c r="Q91" s="264"/>
      <c r="R91" s="264"/>
      <c r="S91" s="271">
        <f>T91-L97</f>
        <v>33.097990400000015</v>
      </c>
      <c r="T91" s="271">
        <f>L97*1.1</f>
        <v>364.07789440000005</v>
      </c>
      <c r="U91" s="265">
        <v>1464.78</v>
      </c>
      <c r="V91" s="266">
        <f>U91/L97</f>
        <v>4.4255859111011153</v>
      </c>
      <c r="W91" s="264"/>
      <c r="X91" s="264"/>
      <c r="Y91" s="264"/>
      <c r="Z91" s="264"/>
      <c r="AA91" s="115">
        <v>4330.08</v>
      </c>
      <c r="AB91" s="267">
        <v>1440</v>
      </c>
      <c r="AC91" s="267"/>
      <c r="AD91" s="556">
        <f>264</f>
        <v>264</v>
      </c>
      <c r="AE91" s="556">
        <f>8*4*5.5</f>
        <v>176</v>
      </c>
      <c r="AF91" s="557">
        <f>120*3+26+12*5.5</f>
        <v>452</v>
      </c>
      <c r="AG91" s="557"/>
      <c r="AH91" s="118">
        <f>8*5.5*2+7*5.5*10</f>
        <v>473</v>
      </c>
      <c r="AI91" s="118"/>
      <c r="AJ91" s="118"/>
      <c r="AK91" s="118"/>
      <c r="AL91" s="557">
        <f>11.5*130</f>
        <v>1495</v>
      </c>
      <c r="AM91" s="116">
        <f>AA91-AB91-AD91-AE91-AF91-AH91</f>
        <v>1525.08</v>
      </c>
      <c r="AN91" s="268">
        <f>AA91-AB91</f>
        <v>2890.08</v>
      </c>
      <c r="AO91" s="269">
        <f t="shared" si="21"/>
        <v>4385.08</v>
      </c>
      <c r="AP91" s="270">
        <f>(AM91+AL91)*0.3+(AG91+AF91+AE91+AD91)*0.6</f>
        <v>1441.2239999999999</v>
      </c>
      <c r="AQ91" s="115">
        <f>F91-AP91</f>
        <v>1013.7760000000001</v>
      </c>
      <c r="AR91" s="303">
        <f>AP91*0.138562</f>
        <v>199.69887988799996</v>
      </c>
      <c r="AS91" s="556">
        <f>AM91+AH91</f>
        <v>1998.08</v>
      </c>
      <c r="AT91" s="256">
        <f>AD91+AE91+AF91+AS91+AG91+AL91</f>
        <v>4385.08</v>
      </c>
      <c r="AU91" s="132">
        <f t="shared" si="22"/>
        <v>1583.1239999999998</v>
      </c>
      <c r="AV91" s="257" t="s">
        <v>97</v>
      </c>
    </row>
    <row r="92" spans="1:48" s="239" customFormat="1" ht="15" customHeight="1">
      <c r="A92" s="239">
        <v>108</v>
      </c>
      <c r="B92" s="240" t="s">
        <v>379</v>
      </c>
      <c r="C92" s="258">
        <v>9</v>
      </c>
      <c r="D92" s="259">
        <v>3</v>
      </c>
      <c r="E92" s="259">
        <v>947</v>
      </c>
      <c r="F92" s="259">
        <v>1775</v>
      </c>
      <c r="G92" s="261">
        <f>E92*0.300304</f>
        <v>284.38788800000003</v>
      </c>
      <c r="H92" s="261">
        <f>F92*0.124048</f>
        <v>220.18520000000001</v>
      </c>
      <c r="I92" s="261">
        <f>40.2*D92</f>
        <v>120.60000000000001</v>
      </c>
      <c r="J92" s="261">
        <f>1.95*D92</f>
        <v>5.85</v>
      </c>
      <c r="K92" s="259"/>
      <c r="L92" s="262">
        <f>SUM(G92:K92)</f>
        <v>631.02308800000003</v>
      </c>
      <c r="M92" s="263">
        <f>E99</f>
        <v>547</v>
      </c>
      <c r="N92" s="173" t="e">
        <f>E99/C99</f>
        <v>#DIV/0!</v>
      </c>
      <c r="O92" s="173" t="e">
        <f>N92*3</f>
        <v>#DIV/0!</v>
      </c>
      <c r="P92" s="173" t="e">
        <f>E99-O92</f>
        <v>#DIV/0!</v>
      </c>
      <c r="Q92" s="264"/>
      <c r="R92" s="264"/>
      <c r="S92" s="264"/>
      <c r="T92" s="264"/>
      <c r="U92" s="265">
        <f>L99*1.2556</f>
        <v>890.63876592000008</v>
      </c>
      <c r="V92" s="266"/>
      <c r="W92" s="264"/>
      <c r="X92" s="264"/>
      <c r="Y92" s="264"/>
      <c r="Z92" s="264"/>
      <c r="AA92" s="115">
        <v>3932.79</v>
      </c>
      <c r="AB92" s="267">
        <f>312.5+625</f>
        <v>937.5</v>
      </c>
      <c r="AC92" s="267"/>
      <c r="AD92" s="556">
        <v>200</v>
      </c>
      <c r="AE92" s="556">
        <f>6.5*7.5+6*4.5+5.5*4.5*3+4.5*5.5</f>
        <v>174.75</v>
      </c>
      <c r="AF92" s="557">
        <f>20*1.5+2*12.5+60*4+2*50+2*25+1.5*15.5+45*3+4*47</f>
        <v>791.25</v>
      </c>
      <c r="AG92" s="557"/>
      <c r="AH92" s="118">
        <f>4*10.5+20.5*5+5*7+5*3.5</f>
        <v>197</v>
      </c>
      <c r="AI92" s="118"/>
      <c r="AJ92" s="118"/>
      <c r="AK92" s="118"/>
      <c r="AL92" s="557"/>
      <c r="AM92" s="116">
        <f>AA92-AB92-AD92-AE92-AF92-AH92</f>
        <v>1632.29</v>
      </c>
      <c r="AN92" s="268">
        <f>AA92-AB92</f>
        <v>2995.29</v>
      </c>
      <c r="AO92" s="269">
        <f t="shared" si="21"/>
        <v>2995.29</v>
      </c>
      <c r="AP92" s="270">
        <f>(AM92+AL92)*0.3+(AG92+AF92+AE92+AD92)*0.6</f>
        <v>1189.287</v>
      </c>
      <c r="AQ92" s="115">
        <f>F92-AP92</f>
        <v>585.71299999999997</v>
      </c>
      <c r="AR92" s="303">
        <f>AP92*0.138562</f>
        <v>164.78998529399999</v>
      </c>
      <c r="AS92" s="556">
        <f>AM92+AH92</f>
        <v>1829.29</v>
      </c>
      <c r="AT92" s="256">
        <f>AD92+AE92+AF92+AS92+AG92+AL92</f>
        <v>2995.29</v>
      </c>
      <c r="AU92" s="132">
        <f t="shared" si="22"/>
        <v>1248.3869999999999</v>
      </c>
      <c r="AV92" s="257" t="s">
        <v>98</v>
      </c>
    </row>
    <row r="93" spans="1:48" s="239" customFormat="1" ht="11.25" customHeight="1" thickBot="1">
      <c r="B93" s="275" t="s">
        <v>320</v>
      </c>
      <c r="C93" s="277"/>
      <c r="D93" s="277"/>
      <c r="E93" s="276">
        <f t="shared" ref="E93:J93" si="25">SUM(E90:E92)</f>
        <v>2033</v>
      </c>
      <c r="F93" s="276">
        <f t="shared" si="25"/>
        <v>7551</v>
      </c>
      <c r="G93" s="277">
        <f t="shared" si="25"/>
        <v>610.51803200000006</v>
      </c>
      <c r="H93" s="277">
        <f t="shared" si="25"/>
        <v>936.68644800000004</v>
      </c>
      <c r="I93" s="277">
        <f t="shared" si="25"/>
        <v>120.60000000000001</v>
      </c>
      <c r="J93" s="277">
        <f t="shared" si="25"/>
        <v>5.85</v>
      </c>
      <c r="K93" s="276"/>
      <c r="L93" s="278">
        <f>SUM(L90:L92)</f>
        <v>1698.6544800000001</v>
      </c>
      <c r="M93" s="263">
        <f>E100</f>
        <v>0</v>
      </c>
      <c r="N93" s="264"/>
      <c r="O93" s="173"/>
      <c r="P93" s="173"/>
      <c r="Q93" s="264"/>
      <c r="R93" s="264"/>
      <c r="S93" s="264"/>
      <c r="T93" s="264"/>
      <c r="U93" s="265"/>
      <c r="V93" s="266"/>
      <c r="W93" s="264"/>
      <c r="X93" s="264"/>
      <c r="Y93" s="264"/>
      <c r="Z93" s="264"/>
      <c r="AA93" s="115"/>
      <c r="AB93" s="115"/>
      <c r="AC93" s="385"/>
      <c r="AD93" s="385"/>
      <c r="AE93" s="385"/>
      <c r="AF93" s="385"/>
      <c r="AG93" s="385"/>
      <c r="AH93" s="385"/>
      <c r="AI93" s="385"/>
      <c r="AJ93" s="385"/>
      <c r="AK93" s="385"/>
      <c r="AL93" s="307"/>
      <c r="AM93" s="300"/>
      <c r="AN93" s="269"/>
      <c r="AO93" s="269"/>
      <c r="AP93" s="270"/>
      <c r="AQ93" s="115"/>
      <c r="AR93" s="267"/>
      <c r="AS93" s="251"/>
      <c r="AT93" s="302">
        <f>AD93+AE93+AF93+AH93+AM93</f>
        <v>0</v>
      </c>
      <c r="AU93" s="132">
        <f t="shared" si="22"/>
        <v>0</v>
      </c>
      <c r="AV93" s="257"/>
    </row>
    <row r="94" spans="1:48" s="239" customFormat="1" ht="15">
      <c r="B94" s="309" t="s">
        <v>380</v>
      </c>
      <c r="C94" s="242"/>
      <c r="D94" s="242"/>
      <c r="E94" s="243"/>
      <c r="F94" s="243"/>
      <c r="G94" s="320"/>
      <c r="H94" s="243"/>
      <c r="I94" s="243"/>
      <c r="J94" s="243"/>
      <c r="K94" s="242"/>
      <c r="L94" s="310"/>
      <c r="M94" s="263">
        <f>E101</f>
        <v>272</v>
      </c>
      <c r="N94" s="173">
        <f>E101/C101</f>
        <v>54.4</v>
      </c>
      <c r="O94" s="173">
        <f>N94*3</f>
        <v>163.19999999999999</v>
      </c>
      <c r="P94" s="173">
        <f>E101-O94</f>
        <v>108.80000000000001</v>
      </c>
      <c r="Q94" s="264"/>
      <c r="R94" s="264"/>
      <c r="S94" s="264"/>
      <c r="T94" s="264"/>
      <c r="U94" s="265">
        <f>1.046*L101</f>
        <v>402.818884416</v>
      </c>
      <c r="V94" s="266"/>
      <c r="W94" s="264"/>
      <c r="X94" s="264"/>
      <c r="Y94" s="264"/>
      <c r="Z94" s="264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321"/>
      <c r="AM94" s="321"/>
      <c r="AN94" s="321"/>
      <c r="AO94" s="321"/>
      <c r="AP94" s="270">
        <f>(AM94+AL94+AH94)*0.3+(AG94+AF94+AE94+AD94)*0.6</f>
        <v>0</v>
      </c>
      <c r="AQ94" s="115">
        <f>F94-AP94</f>
        <v>0</v>
      </c>
      <c r="AR94" s="267"/>
      <c r="AS94" s="383"/>
      <c r="AT94" s="316">
        <f>AD94+AE94+AF94+AH94+AM94</f>
        <v>0</v>
      </c>
      <c r="AU94" s="132">
        <f t="shared" si="22"/>
        <v>0</v>
      </c>
      <c r="AV94" s="257"/>
    </row>
    <row r="95" spans="1:48" s="239" customFormat="1" ht="15" customHeight="1" thickBot="1">
      <c r="A95" s="239">
        <v>66</v>
      </c>
      <c r="B95" s="240" t="s">
        <v>381</v>
      </c>
      <c r="C95" s="392">
        <v>5</v>
      </c>
      <c r="D95" s="326">
        <v>4</v>
      </c>
      <c r="E95" s="326">
        <v>300</v>
      </c>
      <c r="F95" s="326">
        <v>2100</v>
      </c>
      <c r="G95" s="393">
        <f>E95*0.300304</f>
        <v>90.091200000000001</v>
      </c>
      <c r="H95" s="393">
        <f>F95*0.124048</f>
        <v>260.50080000000003</v>
      </c>
      <c r="I95" s="391"/>
      <c r="J95" s="391"/>
      <c r="K95" s="391">
        <v>25</v>
      </c>
      <c r="L95" s="394">
        <f>SUM(G95:K95)</f>
        <v>375.59200000000004</v>
      </c>
      <c r="M95" s="263">
        <f>E101</f>
        <v>272</v>
      </c>
      <c r="N95" s="173">
        <f>E101/C101</f>
        <v>54.4</v>
      </c>
      <c r="O95" s="173">
        <f>N95*3</f>
        <v>163.19999999999999</v>
      </c>
      <c r="P95" s="173">
        <f>E101-O95</f>
        <v>108.80000000000001</v>
      </c>
      <c r="Q95" s="264"/>
      <c r="R95" s="264"/>
      <c r="S95" s="264"/>
      <c r="T95" s="264"/>
      <c r="U95" s="265">
        <f>L101*1.147</f>
        <v>441.71439811199997</v>
      </c>
      <c r="V95" s="266"/>
      <c r="W95" s="264"/>
      <c r="X95" s="264"/>
      <c r="Y95" s="264"/>
      <c r="Z95" s="264"/>
      <c r="AA95" s="115">
        <v>2668</v>
      </c>
      <c r="AB95" s="267">
        <v>897</v>
      </c>
      <c r="AC95" s="267"/>
      <c r="AD95" s="556">
        <v>153</v>
      </c>
      <c r="AE95" s="556">
        <f>5*3*4</f>
        <v>60</v>
      </c>
      <c r="AF95" s="557">
        <f>3.3*95+5.5*2</f>
        <v>324.5</v>
      </c>
      <c r="AG95" s="557"/>
      <c r="AH95" s="118">
        <f>11*5.5+12*5.5*3+4.15*8+40+40</f>
        <v>371.7</v>
      </c>
      <c r="AI95" s="118"/>
      <c r="AJ95" s="118"/>
      <c r="AK95" s="118"/>
      <c r="AL95" s="557"/>
      <c r="AM95" s="116">
        <f>AA95-AB95-AD95-AE95-AF95-AH95</f>
        <v>861.8</v>
      </c>
      <c r="AN95" s="268">
        <f t="shared" ref="AN95:AN128" si="26">AA95-AB95</f>
        <v>1771</v>
      </c>
      <c r="AO95" s="269">
        <f t="shared" ref="AO95:AO126" si="27">AD95+AE95+AF95+AG95+AH95+AL95+AM95</f>
        <v>1771</v>
      </c>
      <c r="AP95" s="270">
        <f>(AM95+AL95)*0.3+(AG95+AF95+AE95+AD95)*0.6</f>
        <v>581.04</v>
      </c>
      <c r="AQ95" s="115">
        <f>F95-AP95</f>
        <v>1518.96</v>
      </c>
      <c r="AR95" s="303">
        <f>AP95*0.138562</f>
        <v>80.510064479999983</v>
      </c>
      <c r="AS95" s="556">
        <f>AM95+AH95</f>
        <v>1233.5</v>
      </c>
      <c r="AT95" s="256">
        <f>AD95+AE95+AF95+AS95+AG95+AL95</f>
        <v>1771</v>
      </c>
      <c r="AU95" s="132">
        <f t="shared" si="22"/>
        <v>692.55</v>
      </c>
      <c r="AV95" s="257" t="s">
        <v>95</v>
      </c>
    </row>
    <row r="96" spans="1:48" s="239" customFormat="1" ht="15">
      <c r="B96" s="350" t="s">
        <v>382</v>
      </c>
      <c r="C96" s="242"/>
      <c r="D96" s="242"/>
      <c r="E96" s="242"/>
      <c r="F96" s="243"/>
      <c r="G96" s="320"/>
      <c r="H96" s="243"/>
      <c r="I96" s="243"/>
      <c r="J96" s="243"/>
      <c r="K96" s="242"/>
      <c r="L96" s="310"/>
      <c r="M96" s="263">
        <f>E103</f>
        <v>186</v>
      </c>
      <c r="N96" s="173">
        <f>E103/C103</f>
        <v>37.200000000000003</v>
      </c>
      <c r="O96" s="173">
        <f>N96*3</f>
        <v>111.60000000000001</v>
      </c>
      <c r="P96" s="173">
        <f>E103-O96</f>
        <v>74.399999999999991</v>
      </c>
      <c r="Q96" s="264"/>
      <c r="R96" s="264"/>
      <c r="S96" s="264"/>
      <c r="T96" s="264"/>
      <c r="U96" s="265">
        <f>1.046*L103</f>
        <v>238.00576889600001</v>
      </c>
      <c r="V96" s="266"/>
      <c r="W96" s="264"/>
      <c r="X96" s="264"/>
      <c r="Y96" s="264"/>
      <c r="Z96" s="264"/>
      <c r="AA96" s="115"/>
      <c r="AB96" s="115"/>
      <c r="AC96" s="385"/>
      <c r="AD96" s="385"/>
      <c r="AE96" s="385"/>
      <c r="AF96" s="385"/>
      <c r="AG96" s="385"/>
      <c r="AH96" s="385"/>
      <c r="AI96" s="385"/>
      <c r="AJ96" s="385"/>
      <c r="AK96" s="385"/>
      <c r="AL96" s="307"/>
      <c r="AM96" s="300">
        <f>AA96-AB96-AD96-AE96-AF96-AH96</f>
        <v>0</v>
      </c>
      <c r="AN96" s="269">
        <f t="shared" si="26"/>
        <v>0</v>
      </c>
      <c r="AO96" s="269">
        <f t="shared" si="27"/>
        <v>0</v>
      </c>
      <c r="AP96" s="270">
        <f>(AM96+AL96+AH96)*0.3+(AG96+AF96+AE96+AD96)*0.6</f>
        <v>0</v>
      </c>
      <c r="AQ96" s="115">
        <f>F96-AP96</f>
        <v>0</v>
      </c>
      <c r="AR96" s="303">
        <f>AP96*0.138562</f>
        <v>0</v>
      </c>
      <c r="AS96" s="395"/>
      <c r="AT96" s="302">
        <f>AD96+AE96+AF96+AH96+AM96</f>
        <v>0</v>
      </c>
      <c r="AU96" s="132">
        <f t="shared" si="22"/>
        <v>0</v>
      </c>
      <c r="AV96" s="257"/>
    </row>
    <row r="97" spans="1:48" s="239" customFormat="1" ht="15" customHeight="1">
      <c r="A97" s="239">
        <v>60</v>
      </c>
      <c r="B97" s="240" t="s">
        <v>383</v>
      </c>
      <c r="C97" s="272">
        <v>5</v>
      </c>
      <c r="D97" s="260">
        <v>4</v>
      </c>
      <c r="E97" s="260">
        <v>276</v>
      </c>
      <c r="F97" s="260">
        <v>2000</v>
      </c>
      <c r="G97" s="261">
        <f>E97*0.300304</f>
        <v>82.883904000000001</v>
      </c>
      <c r="H97" s="261">
        <f>F97*0.124048</f>
        <v>248.096</v>
      </c>
      <c r="I97" s="259"/>
      <c r="J97" s="259"/>
      <c r="K97" s="259"/>
      <c r="L97" s="262">
        <f>SUM(G97:K97)</f>
        <v>330.97990400000003</v>
      </c>
      <c r="M97" s="263">
        <f>E103</f>
        <v>186</v>
      </c>
      <c r="N97" s="173">
        <f>E103/C103</f>
        <v>37.200000000000003</v>
      </c>
      <c r="O97" s="173">
        <f>N97*3</f>
        <v>111.60000000000001</v>
      </c>
      <c r="P97" s="173">
        <f>E103-O97</f>
        <v>74.399999999999991</v>
      </c>
      <c r="Q97" s="264"/>
      <c r="R97" s="264"/>
      <c r="S97" s="264"/>
      <c r="T97" s="264"/>
      <c r="U97" s="265">
        <f>L103*1.147</f>
        <v>260.98720547199997</v>
      </c>
      <c r="V97" s="266"/>
      <c r="W97" s="264"/>
      <c r="X97" s="264"/>
      <c r="Y97" s="264"/>
      <c r="Z97" s="264"/>
      <c r="AA97" s="115">
        <v>2234.83</v>
      </c>
      <c r="AB97" s="267">
        <v>696</v>
      </c>
      <c r="AC97" s="267"/>
      <c r="AD97" s="556">
        <v>130</v>
      </c>
      <c r="AE97" s="556">
        <v>108</v>
      </c>
      <c r="AF97" s="557">
        <f>3.5*54+5*65+42+12*5</f>
        <v>616</v>
      </c>
      <c r="AG97" s="557"/>
      <c r="AH97" s="118">
        <f>3.54+5*65+42+12*5</f>
        <v>430.54</v>
      </c>
      <c r="AI97" s="118"/>
      <c r="AJ97" s="118"/>
      <c r="AK97" s="118"/>
      <c r="AL97" s="557"/>
      <c r="AM97" s="116">
        <f>AA97-AB97-AD97-AE97-AF97-AH97</f>
        <v>254.28999999999991</v>
      </c>
      <c r="AN97" s="268">
        <f t="shared" si="26"/>
        <v>1538.83</v>
      </c>
      <c r="AO97" s="269">
        <f t="shared" si="27"/>
        <v>1538.83</v>
      </c>
      <c r="AP97" s="270">
        <f>(AM97+AL97)*0.3+(AG97+AF97+AE97+AD97)*0.6</f>
        <v>588.6869999999999</v>
      </c>
      <c r="AQ97" s="115">
        <f>F97-AP97</f>
        <v>1411.3130000000001</v>
      </c>
      <c r="AR97" s="303">
        <f>AP97*0.138562</f>
        <v>81.569648093999987</v>
      </c>
      <c r="AS97" s="556">
        <f>AM97+AH97</f>
        <v>684.82999999999993</v>
      </c>
      <c r="AT97" s="256">
        <f>AD97+AE97+AF97+AS97+AG97+AL97</f>
        <v>1538.83</v>
      </c>
      <c r="AU97" s="132">
        <f t="shared" si="22"/>
        <v>717.84899999999993</v>
      </c>
      <c r="AV97" s="257" t="s">
        <v>96</v>
      </c>
    </row>
    <row r="98" spans="1:48" s="239" customFormat="1" ht="15" customHeight="1">
      <c r="A98" s="135">
        <v>60</v>
      </c>
      <c r="B98" s="396" t="s">
        <v>384</v>
      </c>
      <c r="C98" s="272">
        <v>5</v>
      </c>
      <c r="D98" s="260">
        <v>4</v>
      </c>
      <c r="E98" s="260">
        <v>271</v>
      </c>
      <c r="F98" s="260">
        <v>2394</v>
      </c>
      <c r="G98" s="261">
        <f>E98*0.300304</f>
        <v>81.382384000000002</v>
      </c>
      <c r="H98" s="261">
        <f>F98*0.124048</f>
        <v>296.970912</v>
      </c>
      <c r="I98" s="273"/>
      <c r="J98" s="273"/>
      <c r="K98" s="274"/>
      <c r="L98" s="262">
        <f>G98+H98+I98+J98+K98</f>
        <v>378.353296</v>
      </c>
      <c r="M98" s="263">
        <f>E98</f>
        <v>271</v>
      </c>
      <c r="N98" s="173">
        <f>E98/C98</f>
        <v>54.2</v>
      </c>
      <c r="O98" s="173">
        <f>N98*3</f>
        <v>162.60000000000002</v>
      </c>
      <c r="P98" s="173">
        <f>E98-O98</f>
        <v>108.39999999999998</v>
      </c>
      <c r="Q98" s="271"/>
      <c r="R98" s="271"/>
      <c r="S98" s="271"/>
      <c r="T98" s="271"/>
      <c r="U98" s="265">
        <f>1.1588*L98</f>
        <v>438.43579940480004</v>
      </c>
      <c r="V98" s="266"/>
      <c r="W98" s="271"/>
      <c r="X98" s="271"/>
      <c r="Y98" s="271"/>
      <c r="Z98" s="271"/>
      <c r="AA98" s="304"/>
      <c r="AB98" s="303"/>
      <c r="AC98" s="303"/>
      <c r="AD98" s="556">
        <f>(57+12)*2</f>
        <v>138</v>
      </c>
      <c r="AE98" s="556">
        <f>3*3*4</f>
        <v>36</v>
      </c>
      <c r="AF98" s="557">
        <f>2*20+5*57+14*3+4+4*28</f>
        <v>483</v>
      </c>
      <c r="AG98" s="557"/>
      <c r="AH98" s="116">
        <f>10*6+11*5*3+6*5</f>
        <v>255</v>
      </c>
      <c r="AI98" s="116"/>
      <c r="AJ98" s="116"/>
      <c r="AK98" s="116"/>
      <c r="AL98" s="557"/>
      <c r="AM98" s="116">
        <f>20*57+6*57+14*2*57</f>
        <v>3078</v>
      </c>
      <c r="AN98" s="268">
        <f t="shared" si="26"/>
        <v>0</v>
      </c>
      <c r="AO98" s="269">
        <f t="shared" si="27"/>
        <v>3990</v>
      </c>
      <c r="AP98" s="270">
        <f t="shared" ref="AP98:AP108" si="28">(AM98+AL98+AH98)*0.3+(AG98+AF98+AE98+AD98)*0.6</f>
        <v>1394.1</v>
      </c>
      <c r="AQ98" s="115">
        <f>F98-AP98</f>
        <v>999.90000000000009</v>
      </c>
      <c r="AR98" s="303"/>
      <c r="AS98" s="556">
        <f>AM98+AH98</f>
        <v>3333</v>
      </c>
      <c r="AT98" s="256">
        <f>AD98+AE98+AF98+AS98+AG98+AL98</f>
        <v>3990</v>
      </c>
      <c r="AU98" s="132">
        <f t="shared" si="22"/>
        <v>1394.1</v>
      </c>
      <c r="AV98" s="257" t="s">
        <v>100</v>
      </c>
    </row>
    <row r="99" spans="1:48" s="239" customFormat="1" ht="12.75" customHeight="1" thickBot="1">
      <c r="B99" s="275" t="s">
        <v>320</v>
      </c>
      <c r="C99" s="277"/>
      <c r="D99" s="277"/>
      <c r="E99" s="276">
        <f t="shared" ref="E99:L99" si="29">SUM(E97:E98)</f>
        <v>547</v>
      </c>
      <c r="F99" s="276">
        <f t="shared" si="29"/>
        <v>4394</v>
      </c>
      <c r="G99" s="277">
        <f t="shared" si="29"/>
        <v>164.266288</v>
      </c>
      <c r="H99" s="277">
        <f t="shared" si="29"/>
        <v>545.066912</v>
      </c>
      <c r="I99" s="277">
        <f t="shared" si="29"/>
        <v>0</v>
      </c>
      <c r="J99" s="277">
        <f t="shared" si="29"/>
        <v>0</v>
      </c>
      <c r="K99" s="276">
        <f t="shared" si="29"/>
        <v>0</v>
      </c>
      <c r="L99" s="278">
        <f t="shared" si="29"/>
        <v>709.33320000000003</v>
      </c>
      <c r="M99" s="263">
        <f>E106</f>
        <v>0</v>
      </c>
      <c r="N99" s="264"/>
      <c r="O99" s="173"/>
      <c r="P99" s="173"/>
      <c r="Q99" s="264"/>
      <c r="R99" s="264"/>
      <c r="S99" s="264"/>
      <c r="T99" s="264"/>
      <c r="U99" s="265"/>
      <c r="V99" s="266"/>
      <c r="W99" s="264"/>
      <c r="X99" s="264"/>
      <c r="Y99" s="264"/>
      <c r="Z99" s="264"/>
      <c r="AA99" s="115"/>
      <c r="AB99" s="115"/>
      <c r="AC99" s="385"/>
      <c r="AD99" s="385"/>
      <c r="AE99" s="385"/>
      <c r="AF99" s="341"/>
      <c r="AG99" s="341"/>
      <c r="AH99" s="341"/>
      <c r="AI99" s="341"/>
      <c r="AJ99" s="341"/>
      <c r="AK99" s="341"/>
      <c r="AL99" s="307"/>
      <c r="AM99" s="300">
        <f>AA99-AB99-AD99-AE99-AF99-AH99</f>
        <v>0</v>
      </c>
      <c r="AN99" s="269">
        <f t="shared" si="26"/>
        <v>0</v>
      </c>
      <c r="AO99" s="269">
        <f t="shared" si="27"/>
        <v>0</v>
      </c>
      <c r="AP99" s="270">
        <f t="shared" si="28"/>
        <v>0</v>
      </c>
      <c r="AQ99" s="115"/>
      <c r="AR99" s="303">
        <f>AP99*0.138562</f>
        <v>0</v>
      </c>
      <c r="AS99" s="308"/>
      <c r="AT99" s="302">
        <f>AD99+AE99+AF99+AH99+AM99</f>
        <v>0</v>
      </c>
      <c r="AU99" s="132">
        <f t="shared" si="22"/>
        <v>0</v>
      </c>
      <c r="AV99" s="257"/>
    </row>
    <row r="100" spans="1:48" s="239" customFormat="1" ht="15">
      <c r="B100" s="309" t="s">
        <v>385</v>
      </c>
      <c r="C100" s="242"/>
      <c r="D100" s="242"/>
      <c r="E100" s="242"/>
      <c r="F100" s="243"/>
      <c r="G100" s="243"/>
      <c r="H100" s="243"/>
      <c r="I100" s="243"/>
      <c r="J100" s="243"/>
      <c r="K100" s="242"/>
      <c r="L100" s="310"/>
      <c r="M100" s="263">
        <f>E107</f>
        <v>186</v>
      </c>
      <c r="N100" s="173">
        <f>E107/C107</f>
        <v>37.200000000000003</v>
      </c>
      <c r="O100" s="173">
        <f>N100*3</f>
        <v>111.60000000000001</v>
      </c>
      <c r="P100" s="173">
        <f>E107-O100</f>
        <v>74.399999999999991</v>
      </c>
      <c r="Q100" s="264"/>
      <c r="R100" s="264"/>
      <c r="S100" s="264"/>
      <c r="T100" s="264"/>
      <c r="U100" s="265">
        <f>1.0542*L107</f>
        <v>210.5787945408</v>
      </c>
      <c r="V100" s="266"/>
      <c r="W100" s="264"/>
      <c r="X100" s="264"/>
      <c r="Y100" s="264"/>
      <c r="Z100" s="264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321"/>
      <c r="AM100" s="269">
        <f>AA100-AB100-AD100-AE100-AF100-AH100</f>
        <v>0</v>
      </c>
      <c r="AN100" s="269">
        <f t="shared" si="26"/>
        <v>0</v>
      </c>
      <c r="AO100" s="269">
        <f t="shared" si="27"/>
        <v>0</v>
      </c>
      <c r="AP100" s="270">
        <f t="shared" si="28"/>
        <v>0</v>
      </c>
      <c r="AQ100" s="115">
        <f t="shared" ref="AQ100:AQ131" si="30">F100-AP100</f>
        <v>0</v>
      </c>
      <c r="AR100" s="303">
        <f>AP100*0.138562</f>
        <v>0</v>
      </c>
      <c r="AS100" s="322"/>
      <c r="AT100" s="316">
        <f>AD100+AE100+AF100+AH100+AM100</f>
        <v>0</v>
      </c>
      <c r="AU100" s="132">
        <f t="shared" si="22"/>
        <v>0</v>
      </c>
      <c r="AV100" s="257"/>
    </row>
    <row r="101" spans="1:48" s="239" customFormat="1" ht="15" customHeight="1">
      <c r="A101" s="135">
        <v>60</v>
      </c>
      <c r="B101" s="396" t="s">
        <v>386</v>
      </c>
      <c r="C101" s="272">
        <v>5</v>
      </c>
      <c r="D101" s="260">
        <v>4</v>
      </c>
      <c r="E101" s="260">
        <v>272</v>
      </c>
      <c r="F101" s="260">
        <v>2446</v>
      </c>
      <c r="G101" s="261">
        <f>E101*0.300304</f>
        <v>81.682687999999999</v>
      </c>
      <c r="H101" s="261">
        <f>F101*0.124048</f>
        <v>303.42140799999999</v>
      </c>
      <c r="I101" s="273"/>
      <c r="J101" s="273"/>
      <c r="K101" s="274"/>
      <c r="L101" s="262">
        <f>G101+H101+I101+J101+K101</f>
        <v>385.10409599999997</v>
      </c>
      <c r="M101" s="263">
        <f>E101</f>
        <v>272</v>
      </c>
      <c r="N101" s="173">
        <f>E101/C101</f>
        <v>54.4</v>
      </c>
      <c r="O101" s="173">
        <f>N101*3</f>
        <v>163.19999999999999</v>
      </c>
      <c r="P101" s="173">
        <f>E101-O101</f>
        <v>108.80000000000001</v>
      </c>
      <c r="Q101" s="271"/>
      <c r="R101" s="271"/>
      <c r="S101" s="271"/>
      <c r="T101" s="271"/>
      <c r="U101" s="265">
        <f>1.1588*L101</f>
        <v>446.25862644479997</v>
      </c>
      <c r="V101" s="266"/>
      <c r="W101" s="271"/>
      <c r="X101" s="271"/>
      <c r="Y101" s="271"/>
      <c r="Z101" s="271"/>
      <c r="AA101" s="304"/>
      <c r="AB101" s="303"/>
      <c r="AC101" s="303"/>
      <c r="AD101" s="556">
        <f>(57+12)*2</f>
        <v>138</v>
      </c>
      <c r="AE101" s="556">
        <f>3*3*4</f>
        <v>36</v>
      </c>
      <c r="AF101" s="557">
        <f>2*38+4*57+2*20+14*3+4+3*2*5</f>
        <v>420</v>
      </c>
      <c r="AG101" s="557"/>
      <c r="AH101" s="116">
        <f>10*6+11*5*3+6*5</f>
        <v>255</v>
      </c>
      <c r="AI101" s="116"/>
      <c r="AJ101" s="116"/>
      <c r="AK101" s="116"/>
      <c r="AL101" s="557"/>
      <c r="AM101" s="116">
        <f>6*57</f>
        <v>342</v>
      </c>
      <c r="AN101" s="268">
        <f t="shared" si="26"/>
        <v>0</v>
      </c>
      <c r="AO101" s="269">
        <f t="shared" si="27"/>
        <v>1191</v>
      </c>
      <c r="AP101" s="270">
        <f t="shared" si="28"/>
        <v>535.5</v>
      </c>
      <c r="AQ101" s="115">
        <f t="shared" si="30"/>
        <v>1910.5</v>
      </c>
      <c r="AR101" s="303"/>
      <c r="AS101" s="556">
        <f>AM101+AH101</f>
        <v>597</v>
      </c>
      <c r="AT101" s="256">
        <f>AD101+AE101+AF101+AS101+AG101+AL101</f>
        <v>1191</v>
      </c>
      <c r="AU101" s="132">
        <f t="shared" si="22"/>
        <v>535.5</v>
      </c>
      <c r="AV101" s="257" t="s">
        <v>101</v>
      </c>
    </row>
    <row r="102" spans="1:48" s="239" customFormat="1" ht="15" customHeight="1">
      <c r="A102" s="135">
        <v>60</v>
      </c>
      <c r="B102" s="396" t="s">
        <v>387</v>
      </c>
      <c r="C102" s="272">
        <v>5</v>
      </c>
      <c r="D102" s="260">
        <v>4</v>
      </c>
      <c r="E102" s="260">
        <v>221</v>
      </c>
      <c r="F102" s="260">
        <v>2448</v>
      </c>
      <c r="G102" s="261">
        <f>E102*0.300304</f>
        <v>66.367184000000009</v>
      </c>
      <c r="H102" s="261">
        <f>F102*0.124048</f>
        <v>303.66950400000002</v>
      </c>
      <c r="I102" s="273"/>
      <c r="J102" s="273"/>
      <c r="K102" s="274"/>
      <c r="L102" s="262">
        <f>G102+H102+I102+J102+K102</f>
        <v>370.03668800000003</v>
      </c>
      <c r="M102" s="263">
        <f>E102</f>
        <v>221</v>
      </c>
      <c r="N102" s="173">
        <f>E102/C102</f>
        <v>44.2</v>
      </c>
      <c r="O102" s="173">
        <f>N102*3</f>
        <v>132.60000000000002</v>
      </c>
      <c r="P102" s="173">
        <f>E102-O102</f>
        <v>88.399999999999977</v>
      </c>
      <c r="Q102" s="271"/>
      <c r="R102" s="271"/>
      <c r="S102" s="271"/>
      <c r="T102" s="271"/>
      <c r="U102" s="265">
        <f>1.1588*L102</f>
        <v>428.79851405440007</v>
      </c>
      <c r="V102" s="266"/>
      <c r="W102" s="271"/>
      <c r="X102" s="271"/>
      <c r="Y102" s="271"/>
      <c r="Z102" s="271"/>
      <c r="AA102" s="304"/>
      <c r="AB102" s="303"/>
      <c r="AC102" s="303"/>
      <c r="AD102" s="556">
        <f>(57+12)*2</f>
        <v>138</v>
      </c>
      <c r="AE102" s="556">
        <f>3*3*4</f>
        <v>36</v>
      </c>
      <c r="AF102" s="557">
        <f>10+57*5+14*7-11+28*2</f>
        <v>438</v>
      </c>
      <c r="AG102" s="557"/>
      <c r="AH102" s="116">
        <f>11*5*3+6*5</f>
        <v>195</v>
      </c>
      <c r="AI102" s="116"/>
      <c r="AJ102" s="116"/>
      <c r="AK102" s="116"/>
      <c r="AL102" s="557"/>
      <c r="AM102" s="116">
        <f>4*30+6*57+8*5+30+11+37*28</f>
        <v>1579</v>
      </c>
      <c r="AN102" s="268">
        <f t="shared" si="26"/>
        <v>0</v>
      </c>
      <c r="AO102" s="269">
        <f t="shared" si="27"/>
        <v>2386</v>
      </c>
      <c r="AP102" s="270">
        <f t="shared" si="28"/>
        <v>899.39999999999986</v>
      </c>
      <c r="AQ102" s="115">
        <f t="shared" si="30"/>
        <v>1548.6000000000001</v>
      </c>
      <c r="AR102" s="303"/>
      <c r="AS102" s="556">
        <f>AM102+AH102</f>
        <v>1774</v>
      </c>
      <c r="AT102" s="256">
        <f>AD102+AE102+AF102+AS102+AG102+AL102</f>
        <v>2386</v>
      </c>
      <c r="AU102" s="132">
        <f t="shared" si="22"/>
        <v>899.39999999999986</v>
      </c>
      <c r="AV102" s="257" t="s">
        <v>102</v>
      </c>
    </row>
    <row r="103" spans="1:48" s="239" customFormat="1" ht="15" customHeight="1">
      <c r="A103" s="135">
        <v>60</v>
      </c>
      <c r="B103" s="240" t="s">
        <v>388</v>
      </c>
      <c r="C103" s="272">
        <v>5</v>
      </c>
      <c r="D103" s="260">
        <v>3</v>
      </c>
      <c r="E103" s="260">
        <v>186</v>
      </c>
      <c r="F103" s="260">
        <v>1384</v>
      </c>
      <c r="G103" s="261">
        <f>E103*0.300304</f>
        <v>55.856544</v>
      </c>
      <c r="H103" s="261">
        <f>F103*0.124048</f>
        <v>171.68243200000001</v>
      </c>
      <c r="I103" s="273"/>
      <c r="J103" s="273"/>
      <c r="K103" s="274"/>
      <c r="L103" s="262">
        <f>G103+H103+I103+J103+K103</f>
        <v>227.53897599999999</v>
      </c>
      <c r="M103" s="263">
        <f>E103</f>
        <v>186</v>
      </c>
      <c r="N103" s="173">
        <f>E103/C103</f>
        <v>37.200000000000003</v>
      </c>
      <c r="O103" s="173">
        <f>N103*3</f>
        <v>111.60000000000001</v>
      </c>
      <c r="P103" s="173">
        <f>E103-O103</f>
        <v>74.399999999999991</v>
      </c>
      <c r="Q103" s="271"/>
      <c r="R103" s="271"/>
      <c r="S103" s="271"/>
      <c r="T103" s="271"/>
      <c r="U103" s="265">
        <f>1.067*L103</f>
        <v>242.78408739199998</v>
      </c>
      <c r="V103" s="266"/>
      <c r="W103" s="271"/>
      <c r="X103" s="271"/>
      <c r="Y103" s="271"/>
      <c r="Z103" s="271"/>
      <c r="AA103" s="304"/>
      <c r="AB103" s="303"/>
      <c r="AC103" s="303"/>
      <c r="AD103" s="556">
        <f>(54+12)*2</f>
        <v>132</v>
      </c>
      <c r="AE103" s="556">
        <f>5*3*3</f>
        <v>45</v>
      </c>
      <c r="AF103" s="557">
        <f>60*3+26*3</f>
        <v>258</v>
      </c>
      <c r="AG103" s="557"/>
      <c r="AH103" s="118">
        <f>12*4*3+14*4</f>
        <v>200</v>
      </c>
      <c r="AI103" s="118"/>
      <c r="AJ103" s="118"/>
      <c r="AK103" s="118"/>
      <c r="AL103" s="557"/>
      <c r="AM103" s="116">
        <f>6*14+7*53</f>
        <v>455</v>
      </c>
      <c r="AN103" s="268">
        <f t="shared" si="26"/>
        <v>0</v>
      </c>
      <c r="AO103" s="269">
        <f t="shared" si="27"/>
        <v>1090</v>
      </c>
      <c r="AP103" s="270">
        <f t="shared" si="28"/>
        <v>457.5</v>
      </c>
      <c r="AQ103" s="115">
        <f t="shared" si="30"/>
        <v>926.5</v>
      </c>
      <c r="AR103" s="303"/>
      <c r="AS103" s="556">
        <f>AM103+AH103</f>
        <v>655</v>
      </c>
      <c r="AT103" s="256">
        <f>AD103+AE103+AF103+AS103+AG103+AL103</f>
        <v>1090</v>
      </c>
      <c r="AU103" s="132">
        <f t="shared" si="22"/>
        <v>457.5</v>
      </c>
      <c r="AV103" s="257" t="s">
        <v>103</v>
      </c>
    </row>
    <row r="104" spans="1:48" s="239" customFormat="1" ht="15" customHeight="1">
      <c r="A104" s="135">
        <v>60</v>
      </c>
      <c r="B104" s="240" t="s">
        <v>389</v>
      </c>
      <c r="C104" s="272">
        <v>5</v>
      </c>
      <c r="D104" s="260">
        <v>3</v>
      </c>
      <c r="E104" s="260">
        <v>207</v>
      </c>
      <c r="F104" s="260">
        <v>2515</v>
      </c>
      <c r="G104" s="261">
        <f>E104*0.300304</f>
        <v>62.162928000000001</v>
      </c>
      <c r="H104" s="261">
        <f>F104*0.124048</f>
        <v>311.98072000000002</v>
      </c>
      <c r="I104" s="273"/>
      <c r="J104" s="273"/>
      <c r="K104" s="274"/>
      <c r="L104" s="262">
        <f>G104+H104+I104+J104+K104</f>
        <v>374.14364800000004</v>
      </c>
      <c r="M104" s="263">
        <f>E104</f>
        <v>207</v>
      </c>
      <c r="N104" s="173">
        <f>E104/C104</f>
        <v>41.4</v>
      </c>
      <c r="O104" s="173">
        <f>N104*3</f>
        <v>124.19999999999999</v>
      </c>
      <c r="P104" s="173">
        <f>E104-O104</f>
        <v>82.800000000000011</v>
      </c>
      <c r="Q104" s="271"/>
      <c r="R104" s="271"/>
      <c r="S104" s="271"/>
      <c r="T104" s="271"/>
      <c r="U104" s="265">
        <f>1.067*L104</f>
        <v>399.21127241600004</v>
      </c>
      <c r="V104" s="266"/>
      <c r="W104" s="271"/>
      <c r="X104" s="271"/>
      <c r="Y104" s="271"/>
      <c r="Z104" s="271"/>
      <c r="AA104" s="304"/>
      <c r="AB104" s="303"/>
      <c r="AC104" s="303"/>
      <c r="AD104" s="556">
        <f>(54+12)*2</f>
        <v>132</v>
      </c>
      <c r="AE104" s="562">
        <f>7*3*3</f>
        <v>63</v>
      </c>
      <c r="AF104" s="563">
        <f>55*4</f>
        <v>220</v>
      </c>
      <c r="AG104" s="563"/>
      <c r="AH104" s="118">
        <f>4*8*2+16*8*2</f>
        <v>320</v>
      </c>
      <c r="AI104" s="524"/>
      <c r="AJ104" s="524"/>
      <c r="AK104" s="524"/>
      <c r="AL104" s="563"/>
      <c r="AM104" s="116">
        <f>24*55+3*12*2+6*55</f>
        <v>1722</v>
      </c>
      <c r="AN104" s="268">
        <f t="shared" si="26"/>
        <v>0</v>
      </c>
      <c r="AO104" s="269">
        <f t="shared" si="27"/>
        <v>2457</v>
      </c>
      <c r="AP104" s="270">
        <f t="shared" si="28"/>
        <v>861.6</v>
      </c>
      <c r="AQ104" s="115">
        <f t="shared" si="30"/>
        <v>1653.4</v>
      </c>
      <c r="AR104" s="303"/>
      <c r="AS104" s="562">
        <f>AM104+AH104</f>
        <v>2042</v>
      </c>
      <c r="AT104" s="256">
        <f>AD104+AE104+AF104+AS104+AG104+AL104</f>
        <v>2457</v>
      </c>
      <c r="AU104" s="132">
        <f t="shared" si="22"/>
        <v>861.6</v>
      </c>
      <c r="AV104" s="257" t="s">
        <v>104</v>
      </c>
    </row>
    <row r="105" spans="1:48" s="239" customFormat="1" ht="13.5" customHeight="1" thickBot="1">
      <c r="B105" s="275" t="s">
        <v>320</v>
      </c>
      <c r="C105" s="391"/>
      <c r="D105" s="391"/>
      <c r="E105" s="327">
        <f>SUM(E101:E104)</f>
        <v>886</v>
      </c>
      <c r="F105" s="327">
        <f>SUM(F101:F104)</f>
        <v>8793</v>
      </c>
      <c r="G105" s="397">
        <f>SUM(G101:G104)</f>
        <v>266.069344</v>
      </c>
      <c r="H105" s="397">
        <f>SUM(H101:H104)</f>
        <v>1090.754064</v>
      </c>
      <c r="I105" s="397"/>
      <c r="J105" s="397"/>
      <c r="K105" s="327"/>
      <c r="L105" s="328">
        <f>SUM(L101:L104)</f>
        <v>1356.823408</v>
      </c>
      <c r="M105" s="263">
        <f>E112</f>
        <v>0</v>
      </c>
      <c r="N105" s="264"/>
      <c r="O105" s="173"/>
      <c r="P105" s="173"/>
      <c r="Q105" s="264"/>
      <c r="R105" s="264"/>
      <c r="S105" s="264"/>
      <c r="T105" s="264"/>
      <c r="U105" s="265"/>
      <c r="V105" s="266"/>
      <c r="W105" s="264"/>
      <c r="X105" s="264"/>
      <c r="Y105" s="264"/>
      <c r="Z105" s="264"/>
      <c r="AA105" s="115"/>
      <c r="AB105" s="115"/>
      <c r="AC105" s="385"/>
      <c r="AD105" s="385"/>
      <c r="AE105" s="385"/>
      <c r="AF105" s="385"/>
      <c r="AG105" s="385"/>
      <c r="AH105" s="385"/>
      <c r="AI105" s="385"/>
      <c r="AJ105" s="385"/>
      <c r="AK105" s="385"/>
      <c r="AL105" s="307"/>
      <c r="AM105" s="300">
        <f>AA105-AB105-AD105-AE105-AF105-AH105</f>
        <v>0</v>
      </c>
      <c r="AN105" s="269">
        <f t="shared" si="26"/>
        <v>0</v>
      </c>
      <c r="AO105" s="269">
        <f t="shared" si="27"/>
        <v>0</v>
      </c>
      <c r="AP105" s="270">
        <f t="shared" si="28"/>
        <v>0</v>
      </c>
      <c r="AQ105" s="115">
        <f t="shared" si="30"/>
        <v>8793</v>
      </c>
      <c r="AR105" s="303">
        <f>AP105*0.138562</f>
        <v>0</v>
      </c>
      <c r="AS105" s="308"/>
      <c r="AT105" s="302">
        <f>AD105+AE105+AF105+AH105+AM105</f>
        <v>0</v>
      </c>
      <c r="AU105" s="132">
        <f t="shared" si="22"/>
        <v>0</v>
      </c>
      <c r="AV105" s="257"/>
    </row>
    <row r="106" spans="1:48" s="239" customFormat="1" ht="15">
      <c r="B106" s="309" t="s">
        <v>390</v>
      </c>
      <c r="C106" s="242"/>
      <c r="D106" s="242"/>
      <c r="E106" s="398"/>
      <c r="F106" s="398"/>
      <c r="G106" s="399"/>
      <c r="H106" s="399"/>
      <c r="I106" s="399"/>
      <c r="J106" s="399"/>
      <c r="K106" s="398"/>
      <c r="L106" s="400"/>
      <c r="M106" s="263">
        <f>E113</f>
        <v>835</v>
      </c>
      <c r="N106" s="173">
        <f>E113/C113</f>
        <v>92.777777777777771</v>
      </c>
      <c r="O106" s="173">
        <f>N106*3</f>
        <v>278.33333333333331</v>
      </c>
      <c r="P106" s="173">
        <f>E113-O106</f>
        <v>556.66666666666674</v>
      </c>
      <c r="Q106" s="264"/>
      <c r="R106" s="264"/>
      <c r="S106" s="264"/>
      <c r="T106" s="264"/>
      <c r="U106" s="265">
        <f>1.0476*L113</f>
        <v>432.48273615360006</v>
      </c>
      <c r="V106" s="266"/>
      <c r="W106" s="264"/>
      <c r="X106" s="264"/>
      <c r="Y106" s="264"/>
      <c r="Z106" s="264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321"/>
      <c r="AM106" s="269">
        <f>AA106-AB106-AD106-AE106-AF106-AH106</f>
        <v>0</v>
      </c>
      <c r="AN106" s="269">
        <f t="shared" si="26"/>
        <v>0</v>
      </c>
      <c r="AO106" s="269">
        <f t="shared" si="27"/>
        <v>0</v>
      </c>
      <c r="AP106" s="270">
        <f t="shared" si="28"/>
        <v>0</v>
      </c>
      <c r="AQ106" s="115">
        <f t="shared" si="30"/>
        <v>0</v>
      </c>
      <c r="AR106" s="267"/>
      <c r="AS106" s="383"/>
      <c r="AT106" s="316">
        <f>AD106+AE106+AF106+AH106+AM106</f>
        <v>0</v>
      </c>
      <c r="AU106" s="132">
        <f t="shared" si="22"/>
        <v>0</v>
      </c>
      <c r="AV106" s="257"/>
    </row>
    <row r="107" spans="1:48" s="239" customFormat="1" ht="15" customHeight="1">
      <c r="A107" s="135">
        <v>60</v>
      </c>
      <c r="B107" s="240" t="s">
        <v>391</v>
      </c>
      <c r="C107" s="272">
        <v>5</v>
      </c>
      <c r="D107" s="260">
        <v>4</v>
      </c>
      <c r="E107" s="260">
        <v>186</v>
      </c>
      <c r="F107" s="260">
        <v>1160</v>
      </c>
      <c r="G107" s="261">
        <f>E107*0.300304</f>
        <v>55.856544</v>
      </c>
      <c r="H107" s="261">
        <f>F107*0.124048</f>
        <v>143.89568</v>
      </c>
      <c r="I107" s="273"/>
      <c r="J107" s="273"/>
      <c r="K107" s="274"/>
      <c r="L107" s="262">
        <f>G107+H107+I107+J107+K107</f>
        <v>199.75222400000001</v>
      </c>
      <c r="M107" s="263">
        <f>E107</f>
        <v>186</v>
      </c>
      <c r="N107" s="173">
        <f>E107/C107</f>
        <v>37.200000000000003</v>
      </c>
      <c r="O107" s="173">
        <f>N107*3</f>
        <v>111.60000000000001</v>
      </c>
      <c r="P107" s="173">
        <f>E107-O107</f>
        <v>74.399999999999991</v>
      </c>
      <c r="Q107" s="271"/>
      <c r="R107" s="271"/>
      <c r="S107" s="271"/>
      <c r="T107" s="271"/>
      <c r="U107" s="265">
        <f>1.067*L107</f>
        <v>213.13562300800001</v>
      </c>
      <c r="V107" s="266"/>
      <c r="W107" s="271"/>
      <c r="X107" s="271"/>
      <c r="Y107" s="271"/>
      <c r="Z107" s="271"/>
      <c r="AA107" s="304"/>
      <c r="AB107" s="303"/>
      <c r="AC107" s="303"/>
      <c r="AD107" s="556">
        <f>(54+12)*2</f>
        <v>132</v>
      </c>
      <c r="AE107" s="556">
        <f>6*3*3</f>
        <v>54</v>
      </c>
      <c r="AF107" s="557">
        <f>55*4+28*4</f>
        <v>332</v>
      </c>
      <c r="AG107" s="557"/>
      <c r="AH107" s="118">
        <f>7*4*2+4*14*2</f>
        <v>168</v>
      </c>
      <c r="AI107" s="118"/>
      <c r="AJ107" s="118"/>
      <c r="AK107" s="118"/>
      <c r="AL107" s="557"/>
      <c r="AM107" s="116">
        <f>8*55+7*16+2*14</f>
        <v>580</v>
      </c>
      <c r="AN107" s="268">
        <f t="shared" si="26"/>
        <v>0</v>
      </c>
      <c r="AO107" s="269">
        <f t="shared" si="27"/>
        <v>1266</v>
      </c>
      <c r="AP107" s="270">
        <f t="shared" si="28"/>
        <v>535.20000000000005</v>
      </c>
      <c r="AQ107" s="115">
        <f t="shared" si="30"/>
        <v>624.79999999999995</v>
      </c>
      <c r="AR107" s="303"/>
      <c r="AS107" s="556">
        <f>AM107+AH107</f>
        <v>748</v>
      </c>
      <c r="AT107" s="256">
        <f>AD107+AE107+AF107+AS107+AG107+AL107</f>
        <v>1266</v>
      </c>
      <c r="AU107" s="132">
        <f t="shared" si="22"/>
        <v>535.20000000000005</v>
      </c>
      <c r="AV107" s="257" t="s">
        <v>105</v>
      </c>
    </row>
    <row r="108" spans="1:48" s="239" customFormat="1" ht="15" customHeight="1">
      <c r="A108" s="135">
        <v>60</v>
      </c>
      <c r="B108" s="240" t="s">
        <v>392</v>
      </c>
      <c r="C108" s="272">
        <v>5</v>
      </c>
      <c r="D108" s="260">
        <v>3</v>
      </c>
      <c r="E108" s="260">
        <v>206</v>
      </c>
      <c r="F108" s="260">
        <v>1500</v>
      </c>
      <c r="G108" s="261">
        <f>E108*0.300304</f>
        <v>61.862624000000004</v>
      </c>
      <c r="H108" s="261">
        <f>F108*0.124048</f>
        <v>186.072</v>
      </c>
      <c r="I108" s="273"/>
      <c r="J108" s="273"/>
      <c r="K108" s="274"/>
      <c r="L108" s="262">
        <f>G108+H108+I108+J108+K108</f>
        <v>247.93462400000001</v>
      </c>
      <c r="M108" s="263">
        <f>E108</f>
        <v>206</v>
      </c>
      <c r="N108" s="173">
        <f>E108/C108</f>
        <v>41.2</v>
      </c>
      <c r="O108" s="173">
        <f>N108*3</f>
        <v>123.60000000000001</v>
      </c>
      <c r="P108" s="173">
        <f>E108-O108</f>
        <v>82.399999999999991</v>
      </c>
      <c r="Q108" s="271"/>
      <c r="R108" s="271"/>
      <c r="S108" s="271"/>
      <c r="T108" s="271"/>
      <c r="U108" s="265">
        <f>1.6464*L108</f>
        <v>408.19956495360003</v>
      </c>
      <c r="V108" s="266"/>
      <c r="W108" s="271"/>
      <c r="X108" s="271"/>
      <c r="Y108" s="271"/>
      <c r="Z108" s="271"/>
      <c r="AA108" s="304"/>
      <c r="AB108" s="303"/>
      <c r="AC108" s="303"/>
      <c r="AD108" s="556">
        <f>(52+12)*2</f>
        <v>128</v>
      </c>
      <c r="AE108" s="556">
        <f>4*4*3</f>
        <v>48</v>
      </c>
      <c r="AF108" s="557">
        <f>3*70+10*3+3*6+4*8+40</f>
        <v>330</v>
      </c>
      <c r="AG108" s="557"/>
      <c r="AH108" s="116">
        <f>4*8*2+4*16*2</f>
        <v>192</v>
      </c>
      <c r="AI108" s="116"/>
      <c r="AJ108" s="116"/>
      <c r="AK108" s="116"/>
      <c r="AL108" s="557">
        <f>5*70</f>
        <v>350</v>
      </c>
      <c r="AM108" s="116">
        <f>70*7-18*3-18-24+8*40-40+14*70+12*40</f>
        <v>2134</v>
      </c>
      <c r="AN108" s="268">
        <f t="shared" si="26"/>
        <v>0</v>
      </c>
      <c r="AO108" s="269">
        <f t="shared" si="27"/>
        <v>3182</v>
      </c>
      <c r="AP108" s="270">
        <f t="shared" si="28"/>
        <v>1106.3999999999999</v>
      </c>
      <c r="AQ108" s="115">
        <f t="shared" si="30"/>
        <v>393.60000000000014</v>
      </c>
      <c r="AR108" s="303"/>
      <c r="AS108" s="556">
        <f>AM108+AH108</f>
        <v>2326</v>
      </c>
      <c r="AT108" s="256">
        <f>AD108+AE108+AF108+AS108+AG108+AL108</f>
        <v>3182</v>
      </c>
      <c r="AU108" s="132">
        <f t="shared" si="22"/>
        <v>1106.3999999999999</v>
      </c>
      <c r="AV108" s="257"/>
    </row>
    <row r="109" spans="1:48" s="239" customFormat="1" ht="15" customHeight="1">
      <c r="A109" s="239">
        <v>90</v>
      </c>
      <c r="B109" s="240" t="s">
        <v>393</v>
      </c>
      <c r="C109" s="258">
        <v>5</v>
      </c>
      <c r="D109" s="259">
        <v>6</v>
      </c>
      <c r="E109" s="259">
        <v>440</v>
      </c>
      <c r="F109" s="259">
        <v>2500</v>
      </c>
      <c r="G109" s="261">
        <f>E109*0.300304</f>
        <v>132.13376</v>
      </c>
      <c r="H109" s="261">
        <f>F109*0.124048</f>
        <v>310.12</v>
      </c>
      <c r="I109" s="261"/>
      <c r="J109" s="261"/>
      <c r="K109" s="259"/>
      <c r="L109" s="262">
        <f>SUM(G109:K109)</f>
        <v>442.25376</v>
      </c>
      <c r="M109" s="263"/>
      <c r="N109" s="264"/>
      <c r="O109" s="173"/>
      <c r="P109" s="173"/>
      <c r="Q109" s="264"/>
      <c r="R109" s="264"/>
      <c r="S109" s="271">
        <f>T109-L116</f>
        <v>114.53347040000017</v>
      </c>
      <c r="T109" s="271">
        <f>L116*1.1</f>
        <v>1259.8681744</v>
      </c>
      <c r="U109" s="265">
        <v>1111.76</v>
      </c>
      <c r="V109" s="266">
        <f>U109/L116</f>
        <v>0.97068568351003193</v>
      </c>
      <c r="W109" s="264"/>
      <c r="X109" s="264"/>
      <c r="Y109" s="264"/>
      <c r="Z109" s="264"/>
      <c r="AA109" s="117">
        <v>2404</v>
      </c>
      <c r="AB109" s="340">
        <v>1092</v>
      </c>
      <c r="AC109" s="340"/>
      <c r="AD109" s="556">
        <v>206</v>
      </c>
      <c r="AE109" s="556">
        <f>3.5*5.5*6</f>
        <v>115.5</v>
      </c>
      <c r="AF109" s="557">
        <f>2.5*102+15*21+9*3</f>
        <v>597</v>
      </c>
      <c r="AG109" s="557"/>
      <c r="AH109" s="116">
        <f>11*1.7*4</f>
        <v>74.8</v>
      </c>
      <c r="AI109" s="116"/>
      <c r="AJ109" s="116"/>
      <c r="AK109" s="116"/>
      <c r="AL109" s="557">
        <f>7.5*102</f>
        <v>765</v>
      </c>
      <c r="AM109" s="116">
        <f>AA109-AB109-AD109-AE109-AF109-AH109</f>
        <v>318.7</v>
      </c>
      <c r="AN109" s="268">
        <f t="shared" si="26"/>
        <v>1312</v>
      </c>
      <c r="AO109" s="269">
        <f t="shared" si="27"/>
        <v>2077</v>
      </c>
      <c r="AP109" s="270">
        <f>(AM109+AL109)*0.3+(AG109+AF109+AE109+AD109)*0.6</f>
        <v>876.21</v>
      </c>
      <c r="AQ109" s="115">
        <f t="shared" si="30"/>
        <v>1623.79</v>
      </c>
      <c r="AR109" s="303">
        <f>AP109*0.138562</f>
        <v>121.40941002</v>
      </c>
      <c r="AS109" s="556">
        <f>AM109+AH109</f>
        <v>393.5</v>
      </c>
      <c r="AT109" s="256">
        <f>AD109+AE109+AF109+AS109+AG109+AL109</f>
        <v>2077</v>
      </c>
      <c r="AU109" s="132">
        <f t="shared" si="22"/>
        <v>898.65000000000009</v>
      </c>
      <c r="AV109" s="257"/>
    </row>
    <row r="110" spans="1:48" s="239" customFormat="1" ht="15" customHeight="1">
      <c r="A110" s="239">
        <v>136</v>
      </c>
      <c r="B110" s="240" t="s">
        <v>394</v>
      </c>
      <c r="C110" s="258">
        <v>9</v>
      </c>
      <c r="D110" s="259">
        <v>3</v>
      </c>
      <c r="E110" s="259">
        <v>1383</v>
      </c>
      <c r="F110" s="259">
        <v>2868</v>
      </c>
      <c r="G110" s="261">
        <f>E110*0.300304</f>
        <v>415.32043200000004</v>
      </c>
      <c r="H110" s="261">
        <f>F110*0.124048</f>
        <v>355.76966400000003</v>
      </c>
      <c r="I110" s="261">
        <f>40.2*D110</f>
        <v>120.60000000000001</v>
      </c>
      <c r="J110" s="261">
        <f>1.95*D110</f>
        <v>5.85</v>
      </c>
      <c r="K110" s="259"/>
      <c r="L110" s="262">
        <f>SUM(G110:K110)</f>
        <v>897.54009600000018</v>
      </c>
      <c r="M110" s="263">
        <f t="shared" ref="M110:M116" si="31">E117</f>
        <v>0</v>
      </c>
      <c r="N110" s="173" t="e">
        <f>E117/C117</f>
        <v>#DIV/0!</v>
      </c>
      <c r="O110" s="173" t="e">
        <f>N110*3</f>
        <v>#DIV/0!</v>
      </c>
      <c r="P110" s="173" t="e">
        <f>E117-O110</f>
        <v>#DIV/0!</v>
      </c>
      <c r="Q110" s="264"/>
      <c r="R110" s="264"/>
      <c r="S110" s="264"/>
      <c r="T110" s="264"/>
      <c r="U110" s="265">
        <f>1.0647*L117</f>
        <v>0</v>
      </c>
      <c r="V110" s="266"/>
      <c r="W110" s="264"/>
      <c r="X110" s="264"/>
      <c r="Y110" s="264"/>
      <c r="Z110" s="264"/>
      <c r="AA110" s="115">
        <f>8490.36-AA111-AB111</f>
        <v>8490.36</v>
      </c>
      <c r="AB110" s="267">
        <v>2080</v>
      </c>
      <c r="AC110" s="267"/>
      <c r="AD110" s="556">
        <v>235</v>
      </c>
      <c r="AE110" s="556">
        <f>3.5*9.5*3</f>
        <v>99.75</v>
      </c>
      <c r="AF110" s="557">
        <f>2.5*4.5+2.5*33+14*56.5+3.5*38+8.5*6*2+4*5*3+1.4*25.5+2.7*15+7+26*1.2+9.5*3+16.5*30+3.5*10*2+40+5.6*5.6+4.1*1.2+14.6+21*1.5+13*9</f>
        <v>2127.0299999999997</v>
      </c>
      <c r="AG110" s="557">
        <f>3.5*1.5/2+20*1.5</f>
        <v>32.625</v>
      </c>
      <c r="AH110" s="118">
        <f>16.5*4.5+27*7+14*4+10+24+35*5</f>
        <v>528.25</v>
      </c>
      <c r="AI110" s="118"/>
      <c r="AJ110" s="118"/>
      <c r="AK110" s="118"/>
      <c r="AL110" s="557"/>
      <c r="AM110" s="401">
        <v>890</v>
      </c>
      <c r="AN110" s="268">
        <f t="shared" si="26"/>
        <v>6410.3600000000006</v>
      </c>
      <c r="AO110" s="269">
        <f t="shared" si="27"/>
        <v>3912.6549999999997</v>
      </c>
      <c r="AP110" s="270">
        <f>(AM110+AL110)*0.3+(AG110+AF110+AE110+AD110)*0.6</f>
        <v>1763.6429999999998</v>
      </c>
      <c r="AQ110" s="115">
        <f t="shared" si="30"/>
        <v>1104.3570000000002</v>
      </c>
      <c r="AR110" s="303">
        <f>AP110*0.138562</f>
        <v>244.37390136599996</v>
      </c>
      <c r="AS110" s="556">
        <f>AM110+AH110</f>
        <v>1418.25</v>
      </c>
      <c r="AT110" s="256">
        <f>AD110+AE110+AF110+AS110+AG110+AL110</f>
        <v>3912.6549999999997</v>
      </c>
      <c r="AU110" s="132">
        <f t="shared" si="22"/>
        <v>1922.1179999999997</v>
      </c>
      <c r="AV110" s="257"/>
    </row>
    <row r="111" spans="1:48" s="239" customFormat="1" ht="14.25" customHeight="1" thickBot="1">
      <c r="B111" s="275" t="s">
        <v>320</v>
      </c>
      <c r="C111" s="391"/>
      <c r="D111" s="391"/>
      <c r="E111" s="327">
        <f>SUM(E107:E110)</f>
        <v>2215</v>
      </c>
      <c r="F111" s="327">
        <f>SUM(F107:F110)</f>
        <v>8028</v>
      </c>
      <c r="G111" s="397">
        <f>SUM(G107:G110)</f>
        <v>665.17336</v>
      </c>
      <c r="H111" s="397">
        <f>SUM(H107:H110)</f>
        <v>995.85734400000001</v>
      </c>
      <c r="I111" s="397"/>
      <c r="J111" s="397"/>
      <c r="K111" s="327"/>
      <c r="L111" s="328">
        <f>SUM(L107:L110)</f>
        <v>1787.4807040000003</v>
      </c>
      <c r="M111" s="263">
        <f t="shared" si="31"/>
        <v>275</v>
      </c>
      <c r="N111" s="173">
        <f>E118/C118</f>
        <v>55</v>
      </c>
      <c r="O111" s="173">
        <f>N111*3</f>
        <v>165</v>
      </c>
      <c r="P111" s="173">
        <f>E118-O111</f>
        <v>110</v>
      </c>
      <c r="Q111" s="264"/>
      <c r="R111" s="264"/>
      <c r="S111" s="264"/>
      <c r="T111" s="264"/>
      <c r="U111" s="265">
        <f>L118*1.247</f>
        <v>400.13712057600009</v>
      </c>
      <c r="V111" s="266"/>
      <c r="W111" s="264"/>
      <c r="X111" s="264"/>
      <c r="Y111" s="264"/>
      <c r="Z111" s="264"/>
      <c r="AA111" s="115"/>
      <c r="AB111" s="115"/>
      <c r="AC111" s="385"/>
      <c r="AD111" s="385"/>
      <c r="AE111" s="385"/>
      <c r="AF111" s="382"/>
      <c r="AG111" s="382"/>
      <c r="AH111" s="382"/>
      <c r="AI111" s="382"/>
      <c r="AJ111" s="382"/>
      <c r="AK111" s="382"/>
      <c r="AL111" s="307"/>
      <c r="AM111" s="300">
        <f>AA111-AB111-AD111-AE111-AF111-AH111</f>
        <v>0</v>
      </c>
      <c r="AN111" s="269">
        <f t="shared" si="26"/>
        <v>0</v>
      </c>
      <c r="AO111" s="269">
        <f t="shared" si="27"/>
        <v>0</v>
      </c>
      <c r="AP111" s="270">
        <f>(AM111+AL111+AH111)*0.3+(AG111+AF111+AE111+AD111)*0.6</f>
        <v>0</v>
      </c>
      <c r="AQ111" s="115">
        <f t="shared" si="30"/>
        <v>8028</v>
      </c>
      <c r="AR111" s="267"/>
      <c r="AS111" s="251"/>
      <c r="AT111" s="302">
        <f>AD111+AE111+AF111+AH111+AM111</f>
        <v>0</v>
      </c>
      <c r="AU111" s="132">
        <f t="shared" si="22"/>
        <v>0</v>
      </c>
      <c r="AV111" s="257"/>
    </row>
    <row r="112" spans="1:48" s="239" customFormat="1" ht="15">
      <c r="B112" s="309" t="s">
        <v>395</v>
      </c>
      <c r="C112" s="242"/>
      <c r="D112" s="242"/>
      <c r="E112" s="398"/>
      <c r="F112" s="398"/>
      <c r="G112" s="399"/>
      <c r="H112" s="399"/>
      <c r="I112" s="399"/>
      <c r="J112" s="399"/>
      <c r="K112" s="398"/>
      <c r="L112" s="400"/>
      <c r="M112" s="263">
        <f t="shared" si="31"/>
        <v>1321</v>
      </c>
      <c r="N112" s="173">
        <f>E119/C119</f>
        <v>146.77777777777777</v>
      </c>
      <c r="O112" s="173">
        <f>N112*3</f>
        <v>440.33333333333331</v>
      </c>
      <c r="P112" s="173">
        <f>E119-O112</f>
        <v>880.66666666666674</v>
      </c>
      <c r="Q112" s="264"/>
      <c r="R112" s="264"/>
      <c r="S112" s="264"/>
      <c r="T112" s="264"/>
      <c r="U112" s="265">
        <f>L119*1.247</f>
        <v>1492.2469712480001</v>
      </c>
      <c r="V112" s="266"/>
      <c r="W112" s="264"/>
      <c r="X112" s="264"/>
      <c r="Y112" s="264"/>
      <c r="Z112" s="264"/>
      <c r="AA112" s="115"/>
      <c r="AB112" s="115"/>
      <c r="AC112" s="115"/>
      <c r="AD112" s="115"/>
      <c r="AE112" s="115"/>
      <c r="AF112" s="117"/>
      <c r="AG112" s="117"/>
      <c r="AH112" s="117"/>
      <c r="AI112" s="117"/>
      <c r="AJ112" s="117"/>
      <c r="AK112" s="117"/>
      <c r="AL112" s="321"/>
      <c r="AM112" s="269">
        <f>AA112-AB112-AD112-AE112-AF112-AH112</f>
        <v>0</v>
      </c>
      <c r="AN112" s="269">
        <f t="shared" si="26"/>
        <v>0</v>
      </c>
      <c r="AO112" s="269">
        <f t="shared" si="27"/>
        <v>0</v>
      </c>
      <c r="AP112" s="270">
        <f>(AM112+AL112+AH112)*0.3+(AG112+AF112+AE112+AD112)*0.6</f>
        <v>0</v>
      </c>
      <c r="AQ112" s="115">
        <f t="shared" si="30"/>
        <v>0</v>
      </c>
      <c r="AR112" s="267"/>
      <c r="AS112" s="383"/>
      <c r="AT112" s="316">
        <f>AD112+AE112+AF112+AH112+AM112</f>
        <v>0</v>
      </c>
      <c r="AU112" s="132">
        <f t="shared" si="22"/>
        <v>0</v>
      </c>
      <c r="AV112" s="257"/>
    </row>
    <row r="113" spans="1:48" s="239" customFormat="1" ht="15" customHeight="1">
      <c r="A113" s="239">
        <v>72</v>
      </c>
      <c r="B113" s="240" t="s">
        <v>396</v>
      </c>
      <c r="C113" s="258" t="s">
        <v>336</v>
      </c>
      <c r="D113" s="259" t="s">
        <v>42</v>
      </c>
      <c r="E113" s="259">
        <v>835</v>
      </c>
      <c r="F113" s="259">
        <v>627</v>
      </c>
      <c r="G113" s="261">
        <f>E113*0.300304</f>
        <v>250.75384000000003</v>
      </c>
      <c r="H113" s="261">
        <f>F113*0.124048</f>
        <v>77.778096000000005</v>
      </c>
      <c r="I113" s="261">
        <f>40.2*D113</f>
        <v>80.400000000000006</v>
      </c>
      <c r="J113" s="261">
        <f>1.95*D113</f>
        <v>3.9</v>
      </c>
      <c r="K113" s="259"/>
      <c r="L113" s="262">
        <f>SUM(G113:K113)</f>
        <v>412.83193600000004</v>
      </c>
      <c r="M113" s="263">
        <f t="shared" si="31"/>
        <v>279</v>
      </c>
      <c r="N113" s="173">
        <f>E120/C120</f>
        <v>55.8</v>
      </c>
      <c r="O113" s="173">
        <f>N113*3</f>
        <v>167.39999999999998</v>
      </c>
      <c r="P113" s="173">
        <f>E120-O113</f>
        <v>111.60000000000002</v>
      </c>
      <c r="Q113" s="264"/>
      <c r="R113" s="264"/>
      <c r="S113" s="264"/>
      <c r="T113" s="264"/>
      <c r="U113" s="265">
        <f>1.0647*L120</f>
        <v>221.27959919520001</v>
      </c>
      <c r="V113" s="266"/>
      <c r="W113" s="264"/>
      <c r="X113" s="264"/>
      <c r="Y113" s="264"/>
      <c r="Z113" s="264"/>
      <c r="AA113" s="115">
        <v>1746</v>
      </c>
      <c r="AB113" s="267">
        <v>784</v>
      </c>
      <c r="AC113" s="267"/>
      <c r="AD113" s="556">
        <v>90</v>
      </c>
      <c r="AE113" s="556">
        <f>4*5.5*2+7*3.2*2</f>
        <v>88.800000000000011</v>
      </c>
      <c r="AF113" s="557">
        <f>2*37</f>
        <v>74</v>
      </c>
      <c r="AG113" s="557">
        <f>9*24+3.3*25</f>
        <v>298.5</v>
      </c>
      <c r="AH113" s="118">
        <f>4.5*19+5+5*2</f>
        <v>100.5</v>
      </c>
      <c r="AI113" s="118"/>
      <c r="AJ113" s="118"/>
      <c r="AK113" s="118"/>
      <c r="AL113" s="557">
        <f>8*24</f>
        <v>192</v>
      </c>
      <c r="AM113" s="116">
        <f>AA113-AB113-AD113-AE113-AF113-AH113</f>
        <v>608.70000000000005</v>
      </c>
      <c r="AN113" s="268">
        <f t="shared" si="26"/>
        <v>962</v>
      </c>
      <c r="AO113" s="269">
        <f t="shared" si="27"/>
        <v>1452.5</v>
      </c>
      <c r="AP113" s="270">
        <f>(AM113+AL113)*0.3+(AG113+AF113+AE113+AD113)*0.6</f>
        <v>570.99</v>
      </c>
      <c r="AQ113" s="115">
        <f t="shared" si="30"/>
        <v>56.009999999999991</v>
      </c>
      <c r="AR113" s="303">
        <f>AP113*0.138562</f>
        <v>79.117516379999998</v>
      </c>
      <c r="AS113" s="556">
        <f>AM113+AH113</f>
        <v>709.2</v>
      </c>
      <c r="AT113" s="256">
        <f>AD113+AE113+AF113+AS113+AG113+AL113</f>
        <v>1452.5</v>
      </c>
      <c r="AU113" s="132">
        <f t="shared" si="22"/>
        <v>601.14</v>
      </c>
      <c r="AV113" s="257"/>
    </row>
    <row r="114" spans="1:48" s="239" customFormat="1" ht="15" customHeight="1">
      <c r="A114" s="239">
        <v>36</v>
      </c>
      <c r="B114" s="240" t="s">
        <v>397</v>
      </c>
      <c r="C114" s="258">
        <v>9</v>
      </c>
      <c r="D114" s="259">
        <v>1</v>
      </c>
      <c r="E114" s="259">
        <v>325</v>
      </c>
      <c r="F114" s="259">
        <v>1500</v>
      </c>
      <c r="G114" s="261">
        <f>E114*0.300304</f>
        <v>97.598800000000011</v>
      </c>
      <c r="H114" s="261">
        <f>F114*0.124048</f>
        <v>186.072</v>
      </c>
      <c r="I114" s="261">
        <f>40.2*D114</f>
        <v>40.200000000000003</v>
      </c>
      <c r="J114" s="261">
        <f>1.95*D114</f>
        <v>1.95</v>
      </c>
      <c r="K114" s="259"/>
      <c r="L114" s="402">
        <f>SUM(G114:K114)</f>
        <v>325.82079999999996</v>
      </c>
      <c r="M114" s="263">
        <f t="shared" si="31"/>
        <v>1875</v>
      </c>
      <c r="N114" s="173" t="e">
        <f>E121/C121</f>
        <v>#DIV/0!</v>
      </c>
      <c r="O114" s="173" t="e">
        <f>N114*3</f>
        <v>#DIV/0!</v>
      </c>
      <c r="P114" s="173" t="e">
        <f>E121-O114</f>
        <v>#DIV/0!</v>
      </c>
      <c r="Q114" s="264"/>
      <c r="R114" s="264"/>
      <c r="S114" s="264"/>
      <c r="T114" s="264"/>
      <c r="U114" s="265">
        <f>1.0599*L121</f>
        <v>1828.7326022592001</v>
      </c>
      <c r="V114" s="266"/>
      <c r="W114" s="264"/>
      <c r="X114" s="264"/>
      <c r="Y114" s="264"/>
      <c r="Z114" s="264"/>
      <c r="AA114" s="115"/>
      <c r="AB114" s="267"/>
      <c r="AC114" s="267"/>
      <c r="AD114" s="556">
        <f>23+25+12-3</f>
        <v>57</v>
      </c>
      <c r="AE114" s="556">
        <f>7*5</f>
        <v>35</v>
      </c>
      <c r="AF114" s="557">
        <f>14*15+8*2+5.3*8</f>
        <v>268.39999999999998</v>
      </c>
      <c r="AG114" s="557"/>
      <c r="AH114" s="118">
        <f>10*8+5*8*2</f>
        <v>160</v>
      </c>
      <c r="AI114" s="118"/>
      <c r="AJ114" s="118"/>
      <c r="AK114" s="118"/>
      <c r="AL114" s="557"/>
      <c r="AM114" s="116">
        <f>8*25+10*11*2+8*10+8+5*4+10</f>
        <v>538</v>
      </c>
      <c r="AN114" s="268">
        <f t="shared" si="26"/>
        <v>0</v>
      </c>
      <c r="AO114" s="269">
        <f t="shared" si="27"/>
        <v>1058.4000000000001</v>
      </c>
      <c r="AP114" s="270">
        <f>(AM114+AL114+AH114)*0.3+(AG114+AF114+AE114+AD114)*0.6</f>
        <v>425.64</v>
      </c>
      <c r="AQ114" s="115">
        <f t="shared" si="30"/>
        <v>1074.3600000000001</v>
      </c>
      <c r="AR114" s="267"/>
      <c r="AS114" s="556">
        <f>AM114+AH114</f>
        <v>698</v>
      </c>
      <c r="AT114" s="256">
        <f>AD114+AE114+AF114+AS114+AG114+AL114</f>
        <v>1058.4000000000001</v>
      </c>
      <c r="AU114" s="132">
        <f t="shared" si="22"/>
        <v>425.64</v>
      </c>
      <c r="AV114" s="257"/>
    </row>
    <row r="115" spans="1:48" s="239" customFormat="1" ht="15" customHeight="1">
      <c r="A115" s="239">
        <v>72</v>
      </c>
      <c r="B115" s="240" t="s">
        <v>398</v>
      </c>
      <c r="C115" s="258" t="s">
        <v>336</v>
      </c>
      <c r="D115" s="259" t="s">
        <v>42</v>
      </c>
      <c r="E115" s="259">
        <v>539</v>
      </c>
      <c r="F115" s="259">
        <v>1294</v>
      </c>
      <c r="G115" s="261">
        <f>E115*0.300304</f>
        <v>161.863856</v>
      </c>
      <c r="H115" s="261">
        <f>F115*0.124048</f>
        <v>160.518112</v>
      </c>
      <c r="I115" s="261">
        <f>40.2*D115</f>
        <v>80.400000000000006</v>
      </c>
      <c r="J115" s="261">
        <f>1.95*D115</f>
        <v>3.9</v>
      </c>
      <c r="K115" s="259"/>
      <c r="L115" s="262">
        <f>SUM(G115:K115)</f>
        <v>406.68196799999998</v>
      </c>
      <c r="M115" s="263">
        <f t="shared" si="31"/>
        <v>0</v>
      </c>
      <c r="N115" s="264"/>
      <c r="O115" s="173"/>
      <c r="P115" s="173"/>
      <c r="Q115" s="264"/>
      <c r="R115" s="264"/>
      <c r="S115" s="264"/>
      <c r="T115" s="264"/>
      <c r="U115" s="265"/>
      <c r="V115" s="266"/>
      <c r="W115" s="264"/>
      <c r="X115" s="264"/>
      <c r="Y115" s="264"/>
      <c r="Z115" s="264"/>
      <c r="AA115" s="115">
        <v>2252.15</v>
      </c>
      <c r="AB115" s="267">
        <v>689</v>
      </c>
      <c r="AC115" s="267"/>
      <c r="AD115" s="556">
        <v>132</v>
      </c>
      <c r="AE115" s="556">
        <f>5.5*7*2</f>
        <v>77</v>
      </c>
      <c r="AF115" s="557">
        <f>6.5*11+(53+13)*3.5+4*4</f>
        <v>318.5</v>
      </c>
      <c r="AG115" s="557"/>
      <c r="AH115" s="118">
        <f>12*7.5+20*7.5+14*14</f>
        <v>436</v>
      </c>
      <c r="AI115" s="118"/>
      <c r="AJ115" s="118"/>
      <c r="AK115" s="118"/>
      <c r="AL115" s="557">
        <f>5*38</f>
        <v>190</v>
      </c>
      <c r="AM115" s="116">
        <f t="shared" ref="AM115:AM127" si="32">AA115-AB115-AD115-AE115-AF115-AH115</f>
        <v>599.65000000000009</v>
      </c>
      <c r="AN115" s="268">
        <f t="shared" si="26"/>
        <v>1563.15</v>
      </c>
      <c r="AO115" s="269">
        <f t="shared" si="27"/>
        <v>1753.15</v>
      </c>
      <c r="AP115" s="270">
        <f>(AM115+AL115)*0.3+(AG115+AF115+AE115+AD115)*0.6</f>
        <v>553.39499999999998</v>
      </c>
      <c r="AQ115" s="115">
        <f t="shared" si="30"/>
        <v>740.60500000000002</v>
      </c>
      <c r="AR115" s="303">
        <f>AP115*0.138562</f>
        <v>76.679517989999994</v>
      </c>
      <c r="AS115" s="556">
        <f>AM115+AH115</f>
        <v>1035.6500000000001</v>
      </c>
      <c r="AT115" s="256">
        <f>AD115+AE115+AF115+AS115+AG115+AL115</f>
        <v>1753.15</v>
      </c>
      <c r="AU115" s="132">
        <f t="shared" si="22"/>
        <v>684.19499999999994</v>
      </c>
      <c r="AV115" s="257"/>
    </row>
    <row r="116" spans="1:48" s="239" customFormat="1" ht="13.5" customHeight="1" thickBot="1">
      <c r="B116" s="275" t="s">
        <v>320</v>
      </c>
      <c r="C116" s="391"/>
      <c r="D116" s="391"/>
      <c r="E116" s="276">
        <f t="shared" ref="E116:J116" si="33">SUM(E112:E115)</f>
        <v>1699</v>
      </c>
      <c r="F116" s="276">
        <f t="shared" si="33"/>
        <v>3421</v>
      </c>
      <c r="G116" s="277">
        <f t="shared" si="33"/>
        <v>510.21649600000006</v>
      </c>
      <c r="H116" s="277">
        <f t="shared" si="33"/>
        <v>424.36820799999998</v>
      </c>
      <c r="I116" s="277">
        <f t="shared" si="33"/>
        <v>201</v>
      </c>
      <c r="J116" s="277">
        <f t="shared" si="33"/>
        <v>9.75</v>
      </c>
      <c r="K116" s="276"/>
      <c r="L116" s="278">
        <f>SUM(L112:L115)</f>
        <v>1145.3347039999999</v>
      </c>
      <c r="M116" s="263">
        <f t="shared" si="31"/>
        <v>278</v>
      </c>
      <c r="N116" s="173">
        <f>E123/C123</f>
        <v>55.6</v>
      </c>
      <c r="O116" s="173">
        <f>N116*3</f>
        <v>166.8</v>
      </c>
      <c r="P116" s="173">
        <f>E123-O116</f>
        <v>111.19999999999999</v>
      </c>
      <c r="Q116" s="264"/>
      <c r="R116" s="264"/>
      <c r="S116" s="264"/>
      <c r="T116" s="264"/>
      <c r="U116" s="265">
        <f>1.0539*L123</f>
        <v>506.53438879680004</v>
      </c>
      <c r="V116" s="266"/>
      <c r="W116" s="264"/>
      <c r="X116" s="264"/>
      <c r="Y116" s="264"/>
      <c r="Z116" s="264"/>
      <c r="AA116" s="115"/>
      <c r="AB116" s="115"/>
      <c r="AC116" s="385"/>
      <c r="AD116" s="385"/>
      <c r="AE116" s="385"/>
      <c r="AF116" s="382"/>
      <c r="AG116" s="382"/>
      <c r="AH116" s="382"/>
      <c r="AI116" s="382"/>
      <c r="AJ116" s="382"/>
      <c r="AK116" s="382"/>
      <c r="AL116" s="307"/>
      <c r="AM116" s="300">
        <f t="shared" si="32"/>
        <v>0</v>
      </c>
      <c r="AN116" s="269">
        <f t="shared" si="26"/>
        <v>0</v>
      </c>
      <c r="AO116" s="269">
        <f t="shared" si="27"/>
        <v>0</v>
      </c>
      <c r="AP116" s="270">
        <f>(AM116+AL116+AH116)*0.3+(AG116+AF116+AE116+AD116)*0.6</f>
        <v>0</v>
      </c>
      <c r="AQ116" s="115">
        <f t="shared" si="30"/>
        <v>3421</v>
      </c>
      <c r="AR116" s="267"/>
      <c r="AS116" s="251"/>
      <c r="AT116" s="302">
        <f>AD116+AE116+AF116+AH116+AM116</f>
        <v>0</v>
      </c>
      <c r="AU116" s="132">
        <f t="shared" si="22"/>
        <v>0</v>
      </c>
      <c r="AV116" s="257"/>
    </row>
    <row r="117" spans="1:48" s="239" customFormat="1" ht="15">
      <c r="B117" s="309" t="s">
        <v>399</v>
      </c>
      <c r="C117" s="242"/>
      <c r="D117" s="242"/>
      <c r="E117" s="398"/>
      <c r="F117" s="398"/>
      <c r="G117" s="399"/>
      <c r="H117" s="399"/>
      <c r="I117" s="399"/>
      <c r="J117" s="399"/>
      <c r="K117" s="398"/>
      <c r="L117" s="400"/>
      <c r="M117" s="263"/>
      <c r="N117" s="173"/>
      <c r="O117" s="173"/>
      <c r="P117" s="173"/>
      <c r="Q117" s="264"/>
      <c r="R117" s="264"/>
      <c r="S117" s="264"/>
      <c r="T117" s="264"/>
      <c r="U117" s="265"/>
      <c r="V117" s="266"/>
      <c r="W117" s="264"/>
      <c r="X117" s="264"/>
      <c r="Y117" s="264"/>
      <c r="Z117" s="264"/>
      <c r="AA117" s="115"/>
      <c r="AB117" s="115"/>
      <c r="AC117" s="115"/>
      <c r="AD117" s="115"/>
      <c r="AE117" s="115"/>
      <c r="AF117" s="117"/>
      <c r="AG117" s="117"/>
      <c r="AH117" s="117"/>
      <c r="AI117" s="117"/>
      <c r="AJ117" s="117"/>
      <c r="AK117" s="117"/>
      <c r="AL117" s="321"/>
      <c r="AM117" s="269">
        <f t="shared" si="32"/>
        <v>0</v>
      </c>
      <c r="AN117" s="269">
        <f t="shared" si="26"/>
        <v>0</v>
      </c>
      <c r="AO117" s="269">
        <f t="shared" si="27"/>
        <v>0</v>
      </c>
      <c r="AP117" s="270">
        <f>(AM117+AL117+AH117)*0.3+(AG117+AF117+AE117+AD117)*0.6</f>
        <v>0</v>
      </c>
      <c r="AQ117" s="115">
        <f t="shared" si="30"/>
        <v>0</v>
      </c>
      <c r="AR117" s="267"/>
      <c r="AS117" s="383"/>
      <c r="AT117" s="316">
        <f>AD117+AE117+AF117+AH117+AM117</f>
        <v>0</v>
      </c>
      <c r="AU117" s="132">
        <f t="shared" si="22"/>
        <v>0</v>
      </c>
      <c r="AV117" s="257"/>
    </row>
    <row r="118" spans="1:48" s="239" customFormat="1" ht="15" customHeight="1">
      <c r="A118" s="239">
        <v>70</v>
      </c>
      <c r="B118" s="240" t="s">
        <v>400</v>
      </c>
      <c r="C118" s="258">
        <v>5</v>
      </c>
      <c r="D118" s="259">
        <v>4</v>
      </c>
      <c r="E118" s="260">
        <v>275</v>
      </c>
      <c r="F118" s="260">
        <v>1921</v>
      </c>
      <c r="G118" s="261">
        <f>E118*0.300304</f>
        <v>82.583600000000004</v>
      </c>
      <c r="H118" s="261">
        <f>F118*0.124048</f>
        <v>238.29620800000001</v>
      </c>
      <c r="I118" s="259"/>
      <c r="J118" s="259"/>
      <c r="K118" s="259"/>
      <c r="L118" s="262">
        <f>SUM(G118:K118)</f>
        <v>320.87980800000003</v>
      </c>
      <c r="M118" s="263">
        <f>E125</f>
        <v>786</v>
      </c>
      <c r="N118" s="264"/>
      <c r="O118" s="173"/>
      <c r="P118" s="173"/>
      <c r="Q118" s="264"/>
      <c r="R118" s="264"/>
      <c r="S118" s="264"/>
      <c r="T118" s="264"/>
      <c r="U118" s="265"/>
      <c r="V118" s="266"/>
      <c r="W118" s="264"/>
      <c r="X118" s="264"/>
      <c r="Y118" s="264"/>
      <c r="Z118" s="264"/>
      <c r="AA118" s="115">
        <v>4006.86</v>
      </c>
      <c r="AB118" s="267">
        <v>858</v>
      </c>
      <c r="AC118" s="267"/>
      <c r="AD118" s="556">
        <v>156</v>
      </c>
      <c r="AE118" s="556">
        <f>4*6*4</f>
        <v>96</v>
      </c>
      <c r="AF118" s="557">
        <f>5.5*66</f>
        <v>363</v>
      </c>
      <c r="AG118" s="557"/>
      <c r="AH118" s="118">
        <f>8.5*4</f>
        <v>34</v>
      </c>
      <c r="AI118" s="118"/>
      <c r="AJ118" s="118"/>
      <c r="AK118" s="118"/>
      <c r="AL118" s="557">
        <f>4*66</f>
        <v>264</v>
      </c>
      <c r="AM118" s="116">
        <f t="shared" si="32"/>
        <v>2499.86</v>
      </c>
      <c r="AN118" s="268">
        <f t="shared" si="26"/>
        <v>3148.86</v>
      </c>
      <c r="AO118" s="269">
        <f t="shared" si="27"/>
        <v>3412.86</v>
      </c>
      <c r="AP118" s="270">
        <f>(AM118+AL118)*0.3+(AG118+AF118+AE118+AD118)*0.6</f>
        <v>1198.1579999999999</v>
      </c>
      <c r="AQ118" s="115">
        <f t="shared" si="30"/>
        <v>722.8420000000001</v>
      </c>
      <c r="AR118" s="303">
        <f>AP118*0.138562</f>
        <v>166.01916879599997</v>
      </c>
      <c r="AS118" s="556">
        <f>AM118+AH118</f>
        <v>2533.86</v>
      </c>
      <c r="AT118" s="256">
        <f>AD118+AE118+AF118+AS118+AG118+AL118</f>
        <v>3412.86</v>
      </c>
      <c r="AU118" s="132">
        <f t="shared" si="22"/>
        <v>1208.3580000000002</v>
      </c>
      <c r="AV118" s="257"/>
    </row>
    <row r="119" spans="1:48" s="239" customFormat="1" ht="15" customHeight="1">
      <c r="A119" s="239">
        <v>179</v>
      </c>
      <c r="B119" s="240" t="s">
        <v>401</v>
      </c>
      <c r="C119" s="258">
        <v>9</v>
      </c>
      <c r="D119" s="259">
        <v>5</v>
      </c>
      <c r="E119" s="259">
        <v>1321</v>
      </c>
      <c r="F119" s="259">
        <v>4750</v>
      </c>
      <c r="G119" s="261">
        <f>E119*0.300304</f>
        <v>396.70158400000003</v>
      </c>
      <c r="H119" s="261">
        <f>F119*0.124048</f>
        <v>589.22800000000007</v>
      </c>
      <c r="I119" s="261">
        <f>40.2*D119</f>
        <v>201</v>
      </c>
      <c r="J119" s="261">
        <f>1.95*D119</f>
        <v>9.75</v>
      </c>
      <c r="K119" s="259"/>
      <c r="L119" s="262">
        <f>SUM(G119:K119)-0.01</f>
        <v>1196.669584</v>
      </c>
      <c r="M119" s="263"/>
      <c r="N119" s="264"/>
      <c r="O119" s="173"/>
      <c r="P119" s="173"/>
      <c r="Q119" s="264"/>
      <c r="R119" s="264"/>
      <c r="S119" s="271">
        <f>T119-L128</f>
        <v>66.746862400000055</v>
      </c>
      <c r="T119" s="271">
        <f>L128*1.1</f>
        <v>734.21548640000015</v>
      </c>
      <c r="U119" s="265">
        <v>1077.43</v>
      </c>
      <c r="V119" s="266">
        <f>U119/L128</f>
        <v>1.6142032168391482</v>
      </c>
      <c r="W119" s="264"/>
      <c r="X119" s="264"/>
      <c r="Y119" s="264"/>
      <c r="Z119" s="264"/>
      <c r="AA119" s="115">
        <v>5901.76</v>
      </c>
      <c r="AB119" s="267">
        <v>1344</v>
      </c>
      <c r="AC119" s="267"/>
      <c r="AD119" s="556"/>
      <c r="AE119" s="556">
        <v>124</v>
      </c>
      <c r="AF119" s="557">
        <f>117.5+414.4+1025.9</f>
        <v>1557.8000000000002</v>
      </c>
      <c r="AG119" s="557"/>
      <c r="AH119" s="118">
        <v>376</v>
      </c>
      <c r="AI119" s="118"/>
      <c r="AJ119" s="118"/>
      <c r="AK119" s="118"/>
      <c r="AL119" s="557"/>
      <c r="AM119" s="116">
        <f t="shared" si="32"/>
        <v>2499.96</v>
      </c>
      <c r="AN119" s="268">
        <f t="shared" si="26"/>
        <v>4557.76</v>
      </c>
      <c r="AO119" s="269">
        <f t="shared" si="27"/>
        <v>4557.76</v>
      </c>
      <c r="AP119" s="270">
        <f>(AM119+AL119)*0.3+(AG119+AF119+AE119+AD119)*0.6</f>
        <v>1759.068</v>
      </c>
      <c r="AQ119" s="115">
        <f t="shared" si="30"/>
        <v>2990.9319999999998</v>
      </c>
      <c r="AR119" s="303">
        <f>AP119*0.138562</f>
        <v>243.73998021599999</v>
      </c>
      <c r="AS119" s="556">
        <f>AM119+AH119</f>
        <v>2875.96</v>
      </c>
      <c r="AT119" s="256">
        <f>AD119+AE119+AF119+AS119+AG119+AL119</f>
        <v>4557.76</v>
      </c>
      <c r="AU119" s="132">
        <f t="shared" si="22"/>
        <v>1871.8679999999999</v>
      </c>
      <c r="AV119" s="257"/>
    </row>
    <row r="120" spans="1:48" s="239" customFormat="1" ht="15" customHeight="1">
      <c r="A120" s="239">
        <v>60</v>
      </c>
      <c r="B120" s="240" t="s">
        <v>402</v>
      </c>
      <c r="C120" s="258">
        <v>5</v>
      </c>
      <c r="D120" s="259">
        <v>4</v>
      </c>
      <c r="E120" s="260">
        <v>279</v>
      </c>
      <c r="F120" s="260">
        <v>1000</v>
      </c>
      <c r="G120" s="261">
        <f>E120*0.300304</f>
        <v>83.784816000000006</v>
      </c>
      <c r="H120" s="261">
        <f>F120*0.124048</f>
        <v>124.048</v>
      </c>
      <c r="I120" s="259"/>
      <c r="J120" s="259"/>
      <c r="K120" s="259"/>
      <c r="L120" s="262">
        <f>SUM(G120:K120)</f>
        <v>207.83281600000001</v>
      </c>
      <c r="M120" s="263">
        <f>E127</f>
        <v>458</v>
      </c>
      <c r="N120" s="264"/>
      <c r="O120" s="173"/>
      <c r="P120" s="173"/>
      <c r="Q120" s="264"/>
      <c r="R120" s="264"/>
      <c r="S120" s="264"/>
      <c r="T120" s="264"/>
      <c r="U120" s="265"/>
      <c r="V120" s="266"/>
      <c r="W120" s="264"/>
      <c r="X120" s="264"/>
      <c r="Y120" s="264"/>
      <c r="Z120" s="264"/>
      <c r="AA120" s="115">
        <v>1936.46</v>
      </c>
      <c r="AB120" s="267">
        <v>708</v>
      </c>
      <c r="AC120" s="267"/>
      <c r="AD120" s="556">
        <f>(57+12.4)*2</f>
        <v>138.80000000000001</v>
      </c>
      <c r="AE120" s="556">
        <f>3*4*4</f>
        <v>48</v>
      </c>
      <c r="AF120" s="557">
        <f>10+10+10+3.2*(56+8+6)+4*32</f>
        <v>382</v>
      </c>
      <c r="AG120" s="557"/>
      <c r="AH120" s="116">
        <f>6*15+21*6+13*6+4*11+19*6+4*11</f>
        <v>496</v>
      </c>
      <c r="AI120" s="116"/>
      <c r="AJ120" s="116"/>
      <c r="AK120" s="116"/>
      <c r="AL120" s="557"/>
      <c r="AM120" s="116">
        <f t="shared" si="32"/>
        <v>163.66000000000008</v>
      </c>
      <c r="AN120" s="268">
        <f t="shared" si="26"/>
        <v>1228.46</v>
      </c>
      <c r="AO120" s="269">
        <f t="shared" si="27"/>
        <v>1228.46</v>
      </c>
      <c r="AP120" s="270">
        <f>(AM120+AL120)*0.3+(AG120+AF120+AE120+AD120)*0.6</f>
        <v>390.37799999999999</v>
      </c>
      <c r="AQ120" s="115">
        <f t="shared" si="30"/>
        <v>609.62200000000007</v>
      </c>
      <c r="AR120" s="303">
        <f>AP120*0.138562</f>
        <v>54.091556435999998</v>
      </c>
      <c r="AS120" s="556">
        <f>AM120+AH120</f>
        <v>659.66000000000008</v>
      </c>
      <c r="AT120" s="256">
        <f>AD120+AE120+AF120+AS120+AG120+AL120</f>
        <v>1228.46</v>
      </c>
      <c r="AU120" s="132">
        <f t="shared" si="22"/>
        <v>539.178</v>
      </c>
      <c r="AV120" s="257"/>
    </row>
    <row r="121" spans="1:48" s="239" customFormat="1" ht="13.5" customHeight="1" thickBot="1">
      <c r="B121" s="275" t="s">
        <v>320</v>
      </c>
      <c r="C121" s="391"/>
      <c r="D121" s="391"/>
      <c r="E121" s="327">
        <f t="shared" ref="E121:J121" si="34">SUM(E118:E120)</f>
        <v>1875</v>
      </c>
      <c r="F121" s="327">
        <f t="shared" si="34"/>
        <v>7671</v>
      </c>
      <c r="G121" s="397">
        <f t="shared" si="34"/>
        <v>563.07000000000005</v>
      </c>
      <c r="H121" s="397">
        <f t="shared" si="34"/>
        <v>951.57220800000005</v>
      </c>
      <c r="I121" s="397">
        <f t="shared" si="34"/>
        <v>201</v>
      </c>
      <c r="J121" s="397">
        <f t="shared" si="34"/>
        <v>9.75</v>
      </c>
      <c r="K121" s="327"/>
      <c r="L121" s="328">
        <f>SUM(L118:L120)</f>
        <v>1725.382208</v>
      </c>
      <c r="M121" s="263">
        <f>E127</f>
        <v>458</v>
      </c>
      <c r="N121" s="173">
        <f>E127/C127</f>
        <v>50.888888888888886</v>
      </c>
      <c r="O121" s="173">
        <f>N121*3</f>
        <v>152.66666666666666</v>
      </c>
      <c r="P121" s="173">
        <f>E127-O121</f>
        <v>305.33333333333337</v>
      </c>
      <c r="Q121" s="264"/>
      <c r="R121" s="264"/>
      <c r="S121" s="264"/>
      <c r="T121" s="264"/>
      <c r="U121" s="265">
        <f>L127*1.072</f>
        <v>423.98289510400002</v>
      </c>
      <c r="V121" s="266"/>
      <c r="W121" s="264"/>
      <c r="X121" s="264"/>
      <c r="Y121" s="264"/>
      <c r="Z121" s="264"/>
      <c r="AA121" s="115"/>
      <c r="AB121" s="115"/>
      <c r="AC121" s="385"/>
      <c r="AD121" s="385"/>
      <c r="AE121" s="385"/>
      <c r="AF121" s="385"/>
      <c r="AG121" s="385"/>
      <c r="AH121" s="385"/>
      <c r="AI121" s="385"/>
      <c r="AJ121" s="385"/>
      <c r="AK121" s="385"/>
      <c r="AL121" s="403"/>
      <c r="AM121" s="300">
        <f t="shared" si="32"/>
        <v>0</v>
      </c>
      <c r="AN121" s="269">
        <f t="shared" si="26"/>
        <v>0</v>
      </c>
      <c r="AO121" s="269">
        <f t="shared" si="27"/>
        <v>0</v>
      </c>
      <c r="AP121" s="270">
        <f>(AM121+AL121+AH121)*0.3+(AG121+AF121+AE121+AD121)*0.6</f>
        <v>0</v>
      </c>
      <c r="AQ121" s="115">
        <f t="shared" si="30"/>
        <v>7671</v>
      </c>
      <c r="AR121" s="267"/>
      <c r="AS121" s="251"/>
      <c r="AT121" s="302">
        <f>AD121+AE121+AF121+AH121+AM121</f>
        <v>0</v>
      </c>
      <c r="AU121" s="132">
        <f t="shared" si="22"/>
        <v>0</v>
      </c>
      <c r="AV121" s="257"/>
    </row>
    <row r="122" spans="1:48" s="239" customFormat="1" ht="15">
      <c r="B122" s="309" t="s">
        <v>403</v>
      </c>
      <c r="C122" s="242"/>
      <c r="D122" s="242"/>
      <c r="E122" s="398"/>
      <c r="F122" s="398"/>
      <c r="G122" s="399"/>
      <c r="H122" s="399"/>
      <c r="I122" s="399"/>
      <c r="J122" s="399"/>
      <c r="K122" s="398"/>
      <c r="L122" s="400"/>
      <c r="M122" s="263">
        <f>E128</f>
        <v>951</v>
      </c>
      <c r="N122" s="173">
        <f>E128/C128</f>
        <v>67.928571428571431</v>
      </c>
      <c r="O122" s="173">
        <f>N122*3</f>
        <v>203.78571428571428</v>
      </c>
      <c r="P122" s="173">
        <f>E128-O122</f>
        <v>747.21428571428578</v>
      </c>
      <c r="Q122" s="264"/>
      <c r="R122" s="264"/>
      <c r="S122" s="264"/>
      <c r="T122" s="264"/>
      <c r="U122" s="265">
        <f>L128*1.072</f>
        <v>715.52636492800013</v>
      </c>
      <c r="V122" s="266"/>
      <c r="W122" s="264"/>
      <c r="X122" s="264"/>
      <c r="Y122" s="264"/>
      <c r="Z122" s="264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321"/>
      <c r="AM122" s="269">
        <f t="shared" si="32"/>
        <v>0</v>
      </c>
      <c r="AN122" s="269">
        <f t="shared" si="26"/>
        <v>0</v>
      </c>
      <c r="AO122" s="269">
        <f t="shared" si="27"/>
        <v>0</v>
      </c>
      <c r="AP122" s="270">
        <f>(AM122+AL122+AH122)*0.3+(AG122+AF122+AE122+AD122)*0.6</f>
        <v>0</v>
      </c>
      <c r="AQ122" s="115">
        <f t="shared" si="30"/>
        <v>0</v>
      </c>
      <c r="AR122" s="267"/>
      <c r="AS122" s="383"/>
      <c r="AT122" s="316">
        <f>AD122+AE122+AF122+AH122+AM122</f>
        <v>0</v>
      </c>
      <c r="AU122" s="132">
        <f t="shared" si="22"/>
        <v>0</v>
      </c>
      <c r="AV122" s="257"/>
    </row>
    <row r="123" spans="1:48" s="239" customFormat="1" ht="15" customHeight="1">
      <c r="A123" s="239">
        <v>60</v>
      </c>
      <c r="B123" s="240" t="s">
        <v>404</v>
      </c>
      <c r="C123" s="258" t="s">
        <v>56</v>
      </c>
      <c r="D123" s="259" t="s">
        <v>54</v>
      </c>
      <c r="E123" s="260">
        <v>278</v>
      </c>
      <c r="F123" s="260">
        <v>3000</v>
      </c>
      <c r="G123" s="261">
        <f>E123*0.300304</f>
        <v>83.484512000000009</v>
      </c>
      <c r="H123" s="261">
        <f>F123*0.124048</f>
        <v>372.14400000000001</v>
      </c>
      <c r="I123" s="259"/>
      <c r="J123" s="259"/>
      <c r="K123" s="259">
        <v>25</v>
      </c>
      <c r="L123" s="262">
        <f>SUM(G123:K123)</f>
        <v>480.628512</v>
      </c>
      <c r="M123" s="263">
        <f>E127</f>
        <v>458</v>
      </c>
      <c r="N123" s="264"/>
      <c r="O123" s="173"/>
      <c r="P123" s="173"/>
      <c r="Q123" s="264"/>
      <c r="R123" s="264"/>
      <c r="S123" s="264"/>
      <c r="T123" s="264"/>
      <c r="U123" s="265"/>
      <c r="V123" s="266"/>
      <c r="W123" s="264"/>
      <c r="X123" s="264"/>
      <c r="Y123" s="264"/>
      <c r="Z123" s="264"/>
      <c r="AA123" s="115">
        <v>3604.13</v>
      </c>
      <c r="AB123" s="267">
        <v>696</v>
      </c>
      <c r="AC123" s="267"/>
      <c r="AD123" s="556">
        <v>136</v>
      </c>
      <c r="AE123" s="556">
        <v>76.8</v>
      </c>
      <c r="AF123" s="557">
        <f>54+210</f>
        <v>264</v>
      </c>
      <c r="AG123" s="557"/>
      <c r="AH123" s="118">
        <v>203.4</v>
      </c>
      <c r="AI123" s="118"/>
      <c r="AJ123" s="118"/>
      <c r="AK123" s="118"/>
      <c r="AL123" s="557"/>
      <c r="AM123" s="116">
        <f t="shared" si="32"/>
        <v>2227.9299999999998</v>
      </c>
      <c r="AN123" s="268">
        <f t="shared" si="26"/>
        <v>2908.13</v>
      </c>
      <c r="AO123" s="269">
        <f t="shared" si="27"/>
        <v>2908.13</v>
      </c>
      <c r="AP123" s="270">
        <f>(AM123+AL123)*0.3+(AG123+AF123+AE123+AD123)*0.6</f>
        <v>954.45899999999983</v>
      </c>
      <c r="AQ123" s="115">
        <f t="shared" si="30"/>
        <v>2045.5410000000002</v>
      </c>
      <c r="AR123" s="303">
        <f>AP123*0.138562</f>
        <v>132.25174795799998</v>
      </c>
      <c r="AS123" s="556">
        <f>AM123+AH123</f>
        <v>2431.33</v>
      </c>
      <c r="AT123" s="256">
        <f>AD123+AE123+AF123+AS123+AG123+AL123</f>
        <v>2908.13</v>
      </c>
      <c r="AU123" s="132">
        <f t="shared" si="22"/>
        <v>1015.479</v>
      </c>
      <c r="AV123" s="257"/>
    </row>
    <row r="124" spans="1:48" s="239" customFormat="1" ht="15" customHeight="1">
      <c r="A124" s="239">
        <v>72</v>
      </c>
      <c r="B124" s="240" t="s">
        <v>405</v>
      </c>
      <c r="C124" s="258">
        <v>9</v>
      </c>
      <c r="D124" s="259">
        <v>2</v>
      </c>
      <c r="E124" s="260">
        <v>508</v>
      </c>
      <c r="F124" s="260">
        <v>1400</v>
      </c>
      <c r="G124" s="261">
        <f>E124*0.300304</f>
        <v>152.55443200000002</v>
      </c>
      <c r="H124" s="261">
        <f>F124*0.124048</f>
        <v>173.66720000000001</v>
      </c>
      <c r="I124" s="261">
        <f>40.2*D124</f>
        <v>80.400000000000006</v>
      </c>
      <c r="J124" s="261">
        <f>1.95*D124</f>
        <v>3.9</v>
      </c>
      <c r="K124" s="259">
        <v>25</v>
      </c>
      <c r="L124" s="262">
        <f>SUM(G124:K124)</f>
        <v>435.52163199999995</v>
      </c>
      <c r="M124" s="263">
        <f>E131</f>
        <v>396</v>
      </c>
      <c r="N124" s="173">
        <f>E131/C131</f>
        <v>79.2</v>
      </c>
      <c r="O124" s="173">
        <f>N124*3</f>
        <v>237.60000000000002</v>
      </c>
      <c r="P124" s="173">
        <f>E131-O124</f>
        <v>158.39999999999998</v>
      </c>
      <c r="Q124" s="264"/>
      <c r="R124" s="264"/>
      <c r="S124" s="264"/>
      <c r="T124" s="264"/>
      <c r="U124" s="265">
        <f>1.0435*L131</f>
        <v>538.51318470400008</v>
      </c>
      <c r="V124" s="266"/>
      <c r="W124" s="264"/>
      <c r="X124" s="264"/>
      <c r="Y124" s="264"/>
      <c r="Z124" s="264"/>
      <c r="AA124" s="115">
        <f>5350.35/2</f>
        <v>2675.1750000000002</v>
      </c>
      <c r="AB124" s="267">
        <v>636</v>
      </c>
      <c r="AC124" s="267"/>
      <c r="AD124" s="556">
        <v>76</v>
      </c>
      <c r="AE124" s="556">
        <f>6*5*2</f>
        <v>60</v>
      </c>
      <c r="AF124" s="557">
        <f>3.5*160/2</f>
        <v>280</v>
      </c>
      <c r="AG124" s="557"/>
      <c r="AH124" s="118">
        <f>9.5*6+10.5*5*1.5</f>
        <v>135.75</v>
      </c>
      <c r="AI124" s="118"/>
      <c r="AJ124" s="118"/>
      <c r="AK124" s="118"/>
      <c r="AL124" s="557"/>
      <c r="AM124" s="116">
        <f t="shared" si="32"/>
        <v>1487.4250000000002</v>
      </c>
      <c r="AN124" s="268">
        <f t="shared" si="26"/>
        <v>2039.1750000000002</v>
      </c>
      <c r="AO124" s="269">
        <f t="shared" si="27"/>
        <v>2039.1750000000002</v>
      </c>
      <c r="AP124" s="270">
        <f>(AM124+AL124)*0.3+(AG124+AF124+AE124+AD124)*0.6</f>
        <v>695.82749999999999</v>
      </c>
      <c r="AQ124" s="115">
        <f t="shared" si="30"/>
        <v>704.17250000000001</v>
      </c>
      <c r="AR124" s="303">
        <f>AP124*0.138562</f>
        <v>96.415250054999987</v>
      </c>
      <c r="AS124" s="556">
        <f>AM124+AH124</f>
        <v>1623.1750000000002</v>
      </c>
      <c r="AT124" s="256">
        <f>AD124+AE124+AF124+AS124+AG124+AL124</f>
        <v>2039.1750000000002</v>
      </c>
      <c r="AU124" s="132">
        <f t="shared" si="22"/>
        <v>736.55250000000001</v>
      </c>
      <c r="AV124" s="257"/>
    </row>
    <row r="125" spans="1:48" s="264" customFormat="1" ht="10.5" customHeight="1" thickBot="1">
      <c r="B125" s="275" t="s">
        <v>320</v>
      </c>
      <c r="C125" s="391"/>
      <c r="D125" s="391"/>
      <c r="E125" s="327">
        <f t="shared" ref="E125:J125" si="35">SUM(E123:E124)</f>
        <v>786</v>
      </c>
      <c r="F125" s="327">
        <f t="shared" si="35"/>
        <v>4400</v>
      </c>
      <c r="G125" s="397">
        <f t="shared" si="35"/>
        <v>236.03894400000001</v>
      </c>
      <c r="H125" s="397">
        <f t="shared" si="35"/>
        <v>545.81119999999999</v>
      </c>
      <c r="I125" s="397">
        <f t="shared" si="35"/>
        <v>80.400000000000006</v>
      </c>
      <c r="J125" s="397">
        <f t="shared" si="35"/>
        <v>3.9</v>
      </c>
      <c r="K125" s="327"/>
      <c r="L125" s="328">
        <f>SUM(L123:L124)</f>
        <v>916.15014399999995</v>
      </c>
      <c r="M125" s="263"/>
      <c r="N125" s="173"/>
      <c r="O125" s="173"/>
      <c r="P125" s="173"/>
      <c r="S125" s="271">
        <f>L131/960*8</f>
        <v>4.3005365333333332</v>
      </c>
      <c r="T125" s="271"/>
      <c r="U125" s="265"/>
      <c r="V125" s="266"/>
      <c r="AA125" s="115"/>
      <c r="AB125" s="115"/>
      <c r="AC125" s="385"/>
      <c r="AD125" s="385"/>
      <c r="AE125" s="385"/>
      <c r="AF125" s="341"/>
      <c r="AG125" s="341"/>
      <c r="AH125" s="341"/>
      <c r="AI125" s="341"/>
      <c r="AJ125" s="341"/>
      <c r="AK125" s="341"/>
      <c r="AL125" s="404"/>
      <c r="AM125" s="300">
        <f t="shared" si="32"/>
        <v>0</v>
      </c>
      <c r="AN125" s="269">
        <f t="shared" si="26"/>
        <v>0</v>
      </c>
      <c r="AO125" s="269">
        <f t="shared" si="27"/>
        <v>0</v>
      </c>
      <c r="AP125" s="270">
        <f>(AM125+AL125+AH125)*0.3+(AG125+AF125+AE125+AD125)*0.6</f>
        <v>0</v>
      </c>
      <c r="AQ125" s="115">
        <f t="shared" si="30"/>
        <v>4400</v>
      </c>
      <c r="AR125" s="267"/>
      <c r="AS125" s="251"/>
      <c r="AT125" s="302">
        <f>AD125+AE125+AF125+AH125+AM125</f>
        <v>0</v>
      </c>
      <c r="AU125" s="132">
        <f t="shared" si="22"/>
        <v>0</v>
      </c>
      <c r="AV125" s="257"/>
    </row>
    <row r="126" spans="1:48" s="264" customFormat="1" ht="15.75" customHeight="1">
      <c r="B126" s="309" t="s">
        <v>406</v>
      </c>
      <c r="C126" s="242"/>
      <c r="D126" s="242"/>
      <c r="E126" s="398"/>
      <c r="F126" s="398"/>
      <c r="G126" s="399"/>
      <c r="H126" s="399"/>
      <c r="I126" s="399"/>
      <c r="J126" s="399"/>
      <c r="K126" s="398"/>
      <c r="L126" s="400"/>
      <c r="M126" s="263"/>
      <c r="N126" s="173"/>
      <c r="O126" s="173"/>
      <c r="P126" s="173"/>
      <c r="S126" s="271"/>
      <c r="T126" s="271"/>
      <c r="U126" s="265"/>
      <c r="V126" s="266"/>
      <c r="AA126" s="115"/>
      <c r="AB126" s="115"/>
      <c r="AC126" s="115"/>
      <c r="AD126" s="115"/>
      <c r="AE126" s="115"/>
      <c r="AF126" s="115"/>
      <c r="AG126" s="115"/>
      <c r="AH126" s="321"/>
      <c r="AI126" s="321"/>
      <c r="AJ126" s="321"/>
      <c r="AK126" s="321"/>
      <c r="AL126" s="321"/>
      <c r="AM126" s="269">
        <f t="shared" si="32"/>
        <v>0</v>
      </c>
      <c r="AN126" s="269">
        <f t="shared" si="26"/>
        <v>0</v>
      </c>
      <c r="AO126" s="269">
        <f t="shared" si="27"/>
        <v>0</v>
      </c>
      <c r="AP126" s="270">
        <f>(AM126+AL126+AH126)*0.3+(AG126+AF126+AE126+AD126)*0.6</f>
        <v>0</v>
      </c>
      <c r="AQ126" s="115">
        <f t="shared" si="30"/>
        <v>0</v>
      </c>
      <c r="AR126" s="267"/>
      <c r="AS126" s="383"/>
      <c r="AT126" s="316">
        <f>AD126+AE126+AF126+AH126+AM126</f>
        <v>0</v>
      </c>
      <c r="AU126" s="132">
        <f t="shared" si="22"/>
        <v>0</v>
      </c>
      <c r="AV126" s="257"/>
    </row>
    <row r="127" spans="1:48" s="239" customFormat="1" ht="15" customHeight="1">
      <c r="A127" s="239">
        <v>72</v>
      </c>
      <c r="B127" s="240" t="s">
        <v>407</v>
      </c>
      <c r="C127" s="258">
        <v>9</v>
      </c>
      <c r="D127" s="259">
        <v>2</v>
      </c>
      <c r="E127" s="260">
        <v>458</v>
      </c>
      <c r="F127" s="260">
        <v>1400</v>
      </c>
      <c r="G127" s="261">
        <f>E127*0.300304</f>
        <v>137.539232</v>
      </c>
      <c r="H127" s="261">
        <f>F127*0.124048</f>
        <v>173.66720000000001</v>
      </c>
      <c r="I127" s="261">
        <f>40.2*D127</f>
        <v>80.400000000000006</v>
      </c>
      <c r="J127" s="261">
        <f>1.95*D127</f>
        <v>3.9</v>
      </c>
      <c r="K127" s="259"/>
      <c r="L127" s="262">
        <f>SUM(G127:K127)</f>
        <v>395.50643200000002</v>
      </c>
      <c r="M127" s="263"/>
      <c r="N127" s="264"/>
      <c r="O127" s="173"/>
      <c r="P127" s="173"/>
      <c r="Q127" s="264"/>
      <c r="R127" s="264"/>
      <c r="S127" s="271">
        <f>T127-L134</f>
        <v>24.758038400000032</v>
      </c>
      <c r="T127" s="271">
        <f>L134*1.1</f>
        <v>272.33842240000001</v>
      </c>
      <c r="U127" s="265">
        <v>1497.19</v>
      </c>
      <c r="V127" s="266">
        <f>U127/L134</f>
        <v>6.0472884636934729</v>
      </c>
      <c r="W127" s="264"/>
      <c r="X127" s="264"/>
      <c r="Y127" s="264"/>
      <c r="Z127" s="264"/>
      <c r="AA127" s="115">
        <f>5350.35/2</f>
        <v>2675.1750000000002</v>
      </c>
      <c r="AB127" s="267">
        <v>715</v>
      </c>
      <c r="AC127" s="267"/>
      <c r="AD127" s="556">
        <v>68</v>
      </c>
      <c r="AE127" s="556">
        <f>6*5*2</f>
        <v>60</v>
      </c>
      <c r="AF127" s="557">
        <f>3.5*160/2</f>
        <v>280</v>
      </c>
      <c r="AG127" s="557"/>
      <c r="AH127" s="118">
        <f>10.5*5*1.5</f>
        <v>78.75</v>
      </c>
      <c r="AI127" s="118"/>
      <c r="AJ127" s="118"/>
      <c r="AK127" s="118"/>
      <c r="AL127" s="557"/>
      <c r="AM127" s="116">
        <f t="shared" si="32"/>
        <v>1473.4250000000002</v>
      </c>
      <c r="AN127" s="268">
        <f t="shared" si="26"/>
        <v>1960.1750000000002</v>
      </c>
      <c r="AO127" s="269">
        <f t="shared" ref="AO127:AO158" si="36">AD127+AE127+AF127+AG127+AH127+AL127+AM127</f>
        <v>1960.1750000000002</v>
      </c>
      <c r="AP127" s="270">
        <f>(AM127+AL127)*0.3+(AG127+AF127+AE127+AD127)*0.6</f>
        <v>686.82749999999999</v>
      </c>
      <c r="AQ127" s="115">
        <f t="shared" si="30"/>
        <v>713.17250000000001</v>
      </c>
      <c r="AR127" s="303">
        <f>AP127*0.138562</f>
        <v>95.168192054999992</v>
      </c>
      <c r="AS127" s="556">
        <f>AM127+AH127</f>
        <v>1552.1750000000002</v>
      </c>
      <c r="AT127" s="256">
        <f>AD127+AE127+AF127+AS127+AG127+AL127</f>
        <v>1960.1750000000002</v>
      </c>
      <c r="AU127" s="132">
        <f t="shared" si="22"/>
        <v>710.45249999999999</v>
      </c>
      <c r="AV127" s="257"/>
    </row>
    <row r="128" spans="1:48" s="239" customFormat="1" ht="15" customHeight="1">
      <c r="A128" s="239">
        <v>81</v>
      </c>
      <c r="B128" s="240" t="s">
        <v>408</v>
      </c>
      <c r="C128" s="258">
        <v>14</v>
      </c>
      <c r="D128" s="259">
        <v>1</v>
      </c>
      <c r="E128" s="259">
        <v>951</v>
      </c>
      <c r="F128" s="259">
        <v>2490</v>
      </c>
      <c r="G128" s="261">
        <f>E128*0.300304</f>
        <v>285.58910400000002</v>
      </c>
      <c r="H128" s="261">
        <f>F128*0.124048</f>
        <v>308.87952000000001</v>
      </c>
      <c r="I128" s="261">
        <f>40.2*D128</f>
        <v>40.200000000000003</v>
      </c>
      <c r="J128" s="261">
        <v>7.8</v>
      </c>
      <c r="K128" s="259">
        <v>25</v>
      </c>
      <c r="L128" s="262">
        <f>SUM(G128:K128)</f>
        <v>667.46862400000009</v>
      </c>
      <c r="M128" s="263">
        <f>E135</f>
        <v>542</v>
      </c>
      <c r="N128" s="173">
        <f>E135/C135</f>
        <v>60.222222222222221</v>
      </c>
      <c r="O128" s="173">
        <f>N128*3</f>
        <v>180.66666666666666</v>
      </c>
      <c r="P128" s="173">
        <f>E135-O128</f>
        <v>361.33333333333337</v>
      </c>
      <c r="Q128" s="264"/>
      <c r="R128" s="264"/>
      <c r="S128" s="264"/>
      <c r="T128" s="264"/>
      <c r="U128" s="265">
        <f>1.05*L135</f>
        <v>381.06138000000004</v>
      </c>
      <c r="V128" s="266"/>
      <c r="W128" s="264"/>
      <c r="X128" s="264"/>
      <c r="Y128" s="264"/>
      <c r="Z128" s="264"/>
      <c r="AA128" s="115"/>
      <c r="AB128" s="267"/>
      <c r="AC128" s="267"/>
      <c r="AD128" s="556">
        <v>21.8</v>
      </c>
      <c r="AE128" s="556">
        <v>54.4</v>
      </c>
      <c r="AF128" s="557">
        <f>273+45.5+60.2+52.57+47.15</f>
        <v>478.41999999999996</v>
      </c>
      <c r="AG128" s="557"/>
      <c r="AH128" s="116">
        <f>23</f>
        <v>23</v>
      </c>
      <c r="AI128" s="116"/>
      <c r="AJ128" s="116"/>
      <c r="AK128" s="116"/>
      <c r="AL128" s="557"/>
      <c r="AM128" s="116">
        <f>430+1188-52.5</f>
        <v>1565.5</v>
      </c>
      <c r="AN128" s="268">
        <f t="shared" si="26"/>
        <v>0</v>
      </c>
      <c r="AO128" s="269">
        <f t="shared" si="36"/>
        <v>2143.12</v>
      </c>
      <c r="AP128" s="270">
        <f>(AM128+AL128)*0.3+(AG128+AF128+AE128+AD128)*0.6</f>
        <v>802.42199999999991</v>
      </c>
      <c r="AQ128" s="115">
        <f t="shared" si="30"/>
        <v>1687.578</v>
      </c>
      <c r="AR128" s="303">
        <f>AP128*0.138562</f>
        <v>111.18519716399999</v>
      </c>
      <c r="AS128" s="556">
        <f>AM128+AH128</f>
        <v>1588.5</v>
      </c>
      <c r="AT128" s="256">
        <f>AD128+AE128+AF128+AS128+AG128+AL128</f>
        <v>2143.12</v>
      </c>
      <c r="AU128" s="132">
        <f t="shared" si="22"/>
        <v>809.32199999999989</v>
      </c>
      <c r="AV128" s="257"/>
    </row>
    <row r="129" spans="1:48" s="239" customFormat="1" ht="14.25" customHeight="1" thickBot="1">
      <c r="B129" s="275" t="s">
        <v>320</v>
      </c>
      <c r="C129" s="276"/>
      <c r="D129" s="276"/>
      <c r="E129" s="327">
        <f>SUM(E127:E128)</f>
        <v>1409</v>
      </c>
      <c r="F129" s="327">
        <f>SUM(F127:F128)</f>
        <v>3890</v>
      </c>
      <c r="G129" s="397">
        <f>SUM(G127:G128)</f>
        <v>423.12833599999999</v>
      </c>
      <c r="H129" s="397">
        <f>SUM(H127:H128)</f>
        <v>482.54672000000005</v>
      </c>
      <c r="I129" s="397"/>
      <c r="J129" s="397"/>
      <c r="K129" s="405">
        <f>SUM(K127:K128)</f>
        <v>25</v>
      </c>
      <c r="L129" s="328">
        <f>SUM(L127:L128)</f>
        <v>1062.9750560000002</v>
      </c>
      <c r="M129" s="263">
        <f>E134</f>
        <v>271</v>
      </c>
      <c r="N129" s="173">
        <f>E134/C134</f>
        <v>30.111111111111111</v>
      </c>
      <c r="O129" s="173">
        <f>N129*3</f>
        <v>90.333333333333329</v>
      </c>
      <c r="P129" s="173">
        <f>E134-O129</f>
        <v>180.66666666666669</v>
      </c>
      <c r="Q129" s="264"/>
      <c r="R129" s="264"/>
      <c r="S129" s="264"/>
      <c r="T129" s="264"/>
      <c r="U129" s="265">
        <f>L134*1.058</f>
        <v>261.94004627200002</v>
      </c>
      <c r="V129" s="266"/>
      <c r="W129" s="264"/>
      <c r="X129" s="264"/>
      <c r="Y129" s="264"/>
      <c r="Z129" s="264"/>
      <c r="AA129" s="115"/>
      <c r="AB129" s="115"/>
      <c r="AC129" s="385"/>
      <c r="AD129" s="385"/>
      <c r="AE129" s="385"/>
      <c r="AF129" s="341"/>
      <c r="AG129" s="341"/>
      <c r="AH129" s="307"/>
      <c r="AI129" s="307"/>
      <c r="AJ129" s="307"/>
      <c r="AK129" s="307"/>
      <c r="AL129" s="307"/>
      <c r="AM129" s="300"/>
      <c r="AN129" s="269"/>
      <c r="AO129" s="269">
        <f t="shared" si="36"/>
        <v>0</v>
      </c>
      <c r="AP129" s="270">
        <f>(AM129+AL129+AH129)*0.3+(AG129+AF129+AE129+AD129)*0.6</f>
        <v>0</v>
      </c>
      <c r="AQ129" s="115">
        <f t="shared" si="30"/>
        <v>3890</v>
      </c>
      <c r="AR129" s="406"/>
      <c r="AS129" s="407"/>
      <c r="AT129" s="302">
        <f>AD129+AE129+AF129+AH129+AM129</f>
        <v>0</v>
      </c>
      <c r="AU129" s="132">
        <f t="shared" si="22"/>
        <v>0</v>
      </c>
      <c r="AV129" s="257"/>
    </row>
    <row r="130" spans="1:48" s="239" customFormat="1" ht="15.75" customHeight="1">
      <c r="B130" s="408" t="s">
        <v>409</v>
      </c>
      <c r="C130" s="242"/>
      <c r="D130" s="242"/>
      <c r="E130" s="242"/>
      <c r="F130" s="242"/>
      <c r="G130" s="242"/>
      <c r="H130" s="242"/>
      <c r="I130" s="242"/>
      <c r="J130" s="242"/>
      <c r="K130" s="242"/>
      <c r="L130" s="386"/>
      <c r="M130" s="263">
        <f>E135</f>
        <v>542</v>
      </c>
      <c r="N130" s="173">
        <f>E135/C135</f>
        <v>60.222222222222221</v>
      </c>
      <c r="O130" s="173">
        <f>N130*3</f>
        <v>180.66666666666666</v>
      </c>
      <c r="P130" s="173">
        <f>E135-O130</f>
        <v>361.33333333333337</v>
      </c>
      <c r="Q130" s="264"/>
      <c r="R130" s="264"/>
      <c r="S130" s="264"/>
      <c r="T130" s="264"/>
      <c r="U130" s="265">
        <f>L135*1.058</f>
        <v>383.96470480000005</v>
      </c>
      <c r="V130" s="266"/>
      <c r="W130" s="264"/>
      <c r="X130" s="264"/>
      <c r="Y130" s="264"/>
      <c r="Z130" s="264"/>
      <c r="AA130" s="115"/>
      <c r="AB130" s="115"/>
      <c r="AC130" s="115"/>
      <c r="AD130" s="115"/>
      <c r="AE130" s="115"/>
      <c r="AF130" s="115"/>
      <c r="AG130" s="115"/>
      <c r="AH130" s="321"/>
      <c r="AI130" s="321"/>
      <c r="AJ130" s="321"/>
      <c r="AK130" s="321"/>
      <c r="AL130" s="321"/>
      <c r="AM130" s="269">
        <f>AA130-AB130-AD130-AE130-AF130-AH130</f>
        <v>0</v>
      </c>
      <c r="AN130" s="269">
        <f>AA130-AB130</f>
        <v>0</v>
      </c>
      <c r="AO130" s="269">
        <f t="shared" si="36"/>
        <v>0</v>
      </c>
      <c r="AP130" s="270">
        <f>(AM130+AL130+AH130)*0.3+(AG130+AF130+AE130+AD130)*0.6</f>
        <v>0</v>
      </c>
      <c r="AQ130" s="115">
        <f t="shared" si="30"/>
        <v>0</v>
      </c>
      <c r="AR130" s="267"/>
      <c r="AS130" s="383"/>
      <c r="AT130" s="316">
        <f>AD130+AE130+AF130+AH130+AM130</f>
        <v>0</v>
      </c>
      <c r="AU130" s="132">
        <f t="shared" si="22"/>
        <v>0</v>
      </c>
      <c r="AV130" s="257"/>
    </row>
    <row r="131" spans="1:48" s="239" customFormat="1" ht="15" customHeight="1" thickBot="1">
      <c r="A131" s="239">
        <v>99</v>
      </c>
      <c r="B131" s="240" t="s">
        <v>410</v>
      </c>
      <c r="C131" s="409">
        <v>5</v>
      </c>
      <c r="D131" s="391">
        <v>6</v>
      </c>
      <c r="E131" s="326">
        <v>396</v>
      </c>
      <c r="F131" s="326">
        <v>3000</v>
      </c>
      <c r="G131" s="393">
        <f>E131*0.300304</f>
        <v>118.92038400000001</v>
      </c>
      <c r="H131" s="393">
        <f>F131*0.124048</f>
        <v>372.14400000000001</v>
      </c>
      <c r="I131" s="391"/>
      <c r="J131" s="391"/>
      <c r="K131" s="391">
        <v>25</v>
      </c>
      <c r="L131" s="394">
        <f>SUM(G131:K131)</f>
        <v>516.06438400000002</v>
      </c>
      <c r="M131" s="263">
        <f>E138</f>
        <v>278</v>
      </c>
      <c r="N131" s="173">
        <f>E138/C138</f>
        <v>55.6</v>
      </c>
      <c r="O131" s="173">
        <f>N131*3</f>
        <v>166.8</v>
      </c>
      <c r="P131" s="173">
        <f>E138-O131</f>
        <v>111.19999999999999</v>
      </c>
      <c r="Q131" s="264"/>
      <c r="R131" s="264"/>
      <c r="S131" s="264"/>
      <c r="T131" s="264"/>
      <c r="U131" s="265">
        <f>1.0351*L138</f>
        <v>263.09608705600004</v>
      </c>
      <c r="V131" s="266"/>
      <c r="W131" s="264"/>
      <c r="X131" s="264"/>
      <c r="Y131" s="264"/>
      <c r="Z131" s="264"/>
      <c r="AA131" s="115">
        <v>4172.26</v>
      </c>
      <c r="AB131" s="267">
        <v>1140</v>
      </c>
      <c r="AC131" s="267"/>
      <c r="AD131" s="556">
        <f>(12+95)*2</f>
        <v>214</v>
      </c>
      <c r="AE131" s="556">
        <f>3*3.2*6</f>
        <v>57.600000000000009</v>
      </c>
      <c r="AF131" s="557">
        <f>20*1.5*1.5*9+5.5*22+4*4+3.5+8*2+15*2+9.5*3.5+3.5*100</f>
        <v>974.75</v>
      </c>
      <c r="AG131" s="557"/>
      <c r="AH131" s="116">
        <f>9+3+15*3+3*12*2+10</f>
        <v>139</v>
      </c>
      <c r="AI131" s="116"/>
      <c r="AJ131" s="116"/>
      <c r="AK131" s="116"/>
      <c r="AL131" s="557"/>
      <c r="AM131" s="116">
        <f>AA131-AB131-AD131-AE131-AF131-AH131</f>
        <v>1646.9100000000003</v>
      </c>
      <c r="AN131" s="268">
        <f>AA131-AB131</f>
        <v>3032.26</v>
      </c>
      <c r="AO131" s="269">
        <f t="shared" si="36"/>
        <v>3032.26</v>
      </c>
      <c r="AP131" s="270">
        <f>(AM131+AL131)*0.3+(AG131+AF131+AE131+AD131)*0.6</f>
        <v>1241.883</v>
      </c>
      <c r="AQ131" s="115">
        <f t="shared" si="30"/>
        <v>1758.117</v>
      </c>
      <c r="AR131" s="303">
        <f>AP131*0.138562</f>
        <v>172.077792246</v>
      </c>
      <c r="AS131" s="556">
        <f>AM131+AH131</f>
        <v>1785.9100000000003</v>
      </c>
      <c r="AT131" s="256">
        <f>AD131+AE131+AF131+AS131+AG131+AL131</f>
        <v>3032.26</v>
      </c>
      <c r="AU131" s="132">
        <f t="shared" si="22"/>
        <v>1283.5830000000001</v>
      </c>
      <c r="AV131" s="257"/>
    </row>
    <row r="132" spans="1:48" s="239" customFormat="1" ht="15">
      <c r="B132" s="350" t="s">
        <v>411</v>
      </c>
      <c r="C132" s="242"/>
      <c r="D132" s="242"/>
      <c r="E132" s="242"/>
      <c r="F132" s="242"/>
      <c r="G132" s="243"/>
      <c r="H132" s="243"/>
      <c r="I132" s="242"/>
      <c r="J132" s="242"/>
      <c r="K132" s="242"/>
      <c r="L132" s="244"/>
      <c r="M132" s="263">
        <f>E139</f>
        <v>278</v>
      </c>
      <c r="N132" s="173">
        <f>E139/C139</f>
        <v>55.6</v>
      </c>
      <c r="O132" s="173">
        <f>N132*3</f>
        <v>166.8</v>
      </c>
      <c r="P132" s="173">
        <f>E139-O132</f>
        <v>111.19999999999999</v>
      </c>
      <c r="Q132" s="264"/>
      <c r="R132" s="264"/>
      <c r="S132" s="264"/>
      <c r="T132" s="264"/>
      <c r="U132" s="265">
        <f>1.055*L139</f>
        <v>349.81744015999999</v>
      </c>
      <c r="V132" s="266"/>
      <c r="W132" s="264"/>
      <c r="X132" s="264"/>
      <c r="Y132" s="264"/>
      <c r="Z132" s="264"/>
      <c r="AA132" s="115"/>
      <c r="AB132" s="115"/>
      <c r="AC132" s="385"/>
      <c r="AD132" s="385"/>
      <c r="AE132" s="385"/>
      <c r="AF132" s="385"/>
      <c r="AG132" s="385"/>
      <c r="AH132" s="307"/>
      <c r="AI132" s="307"/>
      <c r="AJ132" s="307"/>
      <c r="AK132" s="307"/>
      <c r="AL132" s="307"/>
      <c r="AM132" s="300"/>
      <c r="AN132" s="269"/>
      <c r="AO132" s="269">
        <f t="shared" si="36"/>
        <v>0</v>
      </c>
      <c r="AP132" s="270">
        <f>(AM132+AL132+AH132)*0.3+(AG132+AF132+AE132+AD132)*0.6</f>
        <v>0</v>
      </c>
      <c r="AQ132" s="115">
        <f t="shared" ref="AQ132:AQ163" si="37">F132-AP132</f>
        <v>0</v>
      </c>
      <c r="AR132" s="267"/>
      <c r="AS132" s="410"/>
      <c r="AT132" s="302">
        <f>AD132+AE132+AF132+AH132+AM132</f>
        <v>0</v>
      </c>
      <c r="AU132" s="132">
        <f t="shared" si="22"/>
        <v>0</v>
      </c>
      <c r="AV132" s="257"/>
    </row>
    <row r="133" spans="1:48" s="239" customFormat="1" ht="15" customHeight="1">
      <c r="A133" s="239">
        <v>36</v>
      </c>
      <c r="B133" s="240" t="s">
        <v>412</v>
      </c>
      <c r="C133" s="258" t="s">
        <v>336</v>
      </c>
      <c r="D133" s="259" t="s">
        <v>43</v>
      </c>
      <c r="E133" s="259">
        <v>271</v>
      </c>
      <c r="F133" s="259">
        <v>1000</v>
      </c>
      <c r="G133" s="261">
        <f>E133*0.300304</f>
        <v>81.382384000000002</v>
      </c>
      <c r="H133" s="261">
        <f>F133*0.124048</f>
        <v>124.048</v>
      </c>
      <c r="I133" s="261">
        <f>40.2*D133</f>
        <v>40.200000000000003</v>
      </c>
      <c r="J133" s="261">
        <f>1.95*D133</f>
        <v>1.95</v>
      </c>
      <c r="K133" s="259"/>
      <c r="L133" s="262">
        <f>SUM(G133:K133)</f>
        <v>247.58038399999998</v>
      </c>
      <c r="M133" s="411">
        <f t="shared" ref="M133:Z133" si="38">SUM(M131:M132)</f>
        <v>556</v>
      </c>
      <c r="N133" s="411">
        <f t="shared" si="38"/>
        <v>111.2</v>
      </c>
      <c r="O133" s="411">
        <f t="shared" si="38"/>
        <v>333.6</v>
      </c>
      <c r="P133" s="411">
        <f t="shared" si="38"/>
        <v>222.39999999999998</v>
      </c>
      <c r="Q133" s="411">
        <f t="shared" si="38"/>
        <v>0</v>
      </c>
      <c r="R133" s="411">
        <f t="shared" si="38"/>
        <v>0</v>
      </c>
      <c r="S133" s="411">
        <f t="shared" si="38"/>
        <v>0</v>
      </c>
      <c r="T133" s="411">
        <f t="shared" si="38"/>
        <v>0</v>
      </c>
      <c r="U133" s="411">
        <f t="shared" si="38"/>
        <v>612.91352721600003</v>
      </c>
      <c r="V133" s="411">
        <f t="shared" si="38"/>
        <v>0</v>
      </c>
      <c r="W133" s="411">
        <f t="shared" si="38"/>
        <v>0</v>
      </c>
      <c r="X133" s="411">
        <f t="shared" si="38"/>
        <v>0</v>
      </c>
      <c r="Y133" s="411">
        <f t="shared" si="38"/>
        <v>0</v>
      </c>
      <c r="Z133" s="411">
        <f t="shared" si="38"/>
        <v>0</v>
      </c>
      <c r="AA133" s="260">
        <v>1067.1400000000001</v>
      </c>
      <c r="AB133" s="412">
        <f>11*23</f>
        <v>253</v>
      </c>
      <c r="AC133" s="412"/>
      <c r="AD133" s="564">
        <f>(11+23)*2</f>
        <v>68</v>
      </c>
      <c r="AE133" s="564">
        <f>6.5*5</f>
        <v>32.5</v>
      </c>
      <c r="AF133" s="557">
        <f>11+10+7</f>
        <v>28</v>
      </c>
      <c r="AG133" s="557">
        <f>15*48/2</f>
        <v>360</v>
      </c>
      <c r="AH133" s="116">
        <f>11*3+10*3</f>
        <v>63</v>
      </c>
      <c r="AI133" s="116"/>
      <c r="AJ133" s="116"/>
      <c r="AK133" s="116"/>
      <c r="AL133" s="557">
        <f>4*55+10*10</f>
        <v>320</v>
      </c>
      <c r="AM133" s="116">
        <f>10*48+7*2*24/2+6*26+9*12</f>
        <v>912</v>
      </c>
      <c r="AN133" s="268">
        <f t="shared" ref="AN133:AN145" si="39">AA133-AB133</f>
        <v>814.1400000000001</v>
      </c>
      <c r="AO133" s="269">
        <f t="shared" si="36"/>
        <v>1783.5</v>
      </c>
      <c r="AP133" s="270">
        <f>(AM133+AL133)*0.3+(AG133+AF133+AE133+AD133)*0.6</f>
        <v>662.69999999999993</v>
      </c>
      <c r="AQ133" s="115">
        <f t="shared" si="37"/>
        <v>337.30000000000007</v>
      </c>
      <c r="AR133" s="303">
        <f>AP133*0.138562</f>
        <v>91.825037399999985</v>
      </c>
      <c r="AS133" s="556">
        <f>AM133+AH133</f>
        <v>975</v>
      </c>
      <c r="AT133" s="256">
        <f>AD133+AE133+AF133+AS133+AG133+AL133</f>
        <v>1783.5</v>
      </c>
      <c r="AU133" s="132">
        <f t="shared" si="22"/>
        <v>681.59999999999991</v>
      </c>
      <c r="AV133" s="257"/>
    </row>
    <row r="134" spans="1:48" s="239" customFormat="1" ht="15" customHeight="1">
      <c r="A134" s="239">
        <v>36</v>
      </c>
      <c r="B134" s="240" t="s">
        <v>413</v>
      </c>
      <c r="C134" s="258" t="s">
        <v>336</v>
      </c>
      <c r="D134" s="259" t="s">
        <v>43</v>
      </c>
      <c r="E134" s="259">
        <v>271</v>
      </c>
      <c r="F134" s="259">
        <v>1000</v>
      </c>
      <c r="G134" s="261">
        <f>E134*0.300304</f>
        <v>81.382384000000002</v>
      </c>
      <c r="H134" s="261">
        <f>F134*0.124048</f>
        <v>124.048</v>
      </c>
      <c r="I134" s="261">
        <f>40.2*D134</f>
        <v>40.200000000000003</v>
      </c>
      <c r="J134" s="261">
        <f>1.95*D134</f>
        <v>1.95</v>
      </c>
      <c r="K134" s="259"/>
      <c r="L134" s="262">
        <f>SUM(G134:K134)</f>
        <v>247.58038399999998</v>
      </c>
      <c r="M134" s="263">
        <f>E146</f>
        <v>2188</v>
      </c>
      <c r="N134" s="264"/>
      <c r="O134" s="173"/>
      <c r="P134" s="173"/>
      <c r="Q134" s="264"/>
      <c r="R134" s="264"/>
      <c r="S134" s="264"/>
      <c r="T134" s="264"/>
      <c r="U134" s="265"/>
      <c r="V134" s="266"/>
      <c r="W134" s="264"/>
      <c r="X134" s="264"/>
      <c r="Y134" s="264"/>
      <c r="Z134" s="264"/>
      <c r="AA134" s="117">
        <v>1356.66</v>
      </c>
      <c r="AB134" s="412">
        <f>11*23</f>
        <v>253</v>
      </c>
      <c r="AC134" s="412"/>
      <c r="AD134" s="564">
        <f>(11+23)*2</f>
        <v>68</v>
      </c>
      <c r="AE134" s="556">
        <f>5*6.5</f>
        <v>32.5</v>
      </c>
      <c r="AF134" s="557">
        <v>21</v>
      </c>
      <c r="AG134" s="557">
        <f>2*2*17+2*19+2*14</f>
        <v>134</v>
      </c>
      <c r="AH134" s="116">
        <f>5*10</f>
        <v>50</v>
      </c>
      <c r="AI134" s="116"/>
      <c r="AJ134" s="116"/>
      <c r="AK134" s="116"/>
      <c r="AL134" s="557"/>
      <c r="AM134" s="116">
        <f>11*32+10*10*2+11*2*8/2</f>
        <v>640</v>
      </c>
      <c r="AN134" s="268">
        <f t="shared" si="39"/>
        <v>1103.6600000000001</v>
      </c>
      <c r="AO134" s="269">
        <f t="shared" si="36"/>
        <v>945.5</v>
      </c>
      <c r="AP134" s="270">
        <f>(AM134+AL134)*0.3+(AG134+AF134+AE134+AD134)*0.6</f>
        <v>345.29999999999995</v>
      </c>
      <c r="AQ134" s="115">
        <f t="shared" si="37"/>
        <v>654.70000000000005</v>
      </c>
      <c r="AR134" s="303">
        <f>AP134*0.138562</f>
        <v>47.845458599999994</v>
      </c>
      <c r="AS134" s="556">
        <f>AM134+AH134</f>
        <v>690</v>
      </c>
      <c r="AT134" s="256">
        <f>AD134+AE134+AF134+AS134+AG134+AL134</f>
        <v>945.5</v>
      </c>
      <c r="AU134" s="132">
        <f t="shared" si="22"/>
        <v>360.29999999999995</v>
      </c>
      <c r="AV134" s="257"/>
    </row>
    <row r="135" spans="1:48" s="239" customFormat="1" ht="15" customHeight="1">
      <c r="A135" s="239">
        <v>72</v>
      </c>
      <c r="B135" s="240" t="s">
        <v>414</v>
      </c>
      <c r="C135" s="258" t="s">
        <v>336</v>
      </c>
      <c r="D135" s="259" t="s">
        <v>42</v>
      </c>
      <c r="E135" s="259">
        <v>542</v>
      </c>
      <c r="F135" s="259">
        <v>934</v>
      </c>
      <c r="G135" s="261">
        <f>E135*0.300304</f>
        <v>162.764768</v>
      </c>
      <c r="H135" s="261">
        <f>F135*0.124048</f>
        <v>115.860832</v>
      </c>
      <c r="I135" s="261">
        <f>40.2*D135</f>
        <v>80.400000000000006</v>
      </c>
      <c r="J135" s="261">
        <f>1.95*D135</f>
        <v>3.9</v>
      </c>
      <c r="K135" s="259"/>
      <c r="L135" s="262">
        <f>SUM(G135:K135)-0.01</f>
        <v>362.91560000000004</v>
      </c>
      <c r="M135" s="263">
        <f>E147</f>
        <v>0</v>
      </c>
      <c r="N135" s="173" t="e">
        <f>E147/C147</f>
        <v>#DIV/0!</v>
      </c>
      <c r="O135" s="173" t="e">
        <f>N135*3</f>
        <v>#DIV/0!</v>
      </c>
      <c r="P135" s="173" t="e">
        <f>E147-O135</f>
        <v>#DIV/0!</v>
      </c>
      <c r="Q135" s="264"/>
      <c r="R135" s="264"/>
      <c r="S135" s="264"/>
      <c r="T135" s="264"/>
      <c r="U135" s="265">
        <f>1.052*L147</f>
        <v>0</v>
      </c>
      <c r="V135" s="266"/>
      <c r="W135" s="264"/>
      <c r="X135" s="264"/>
      <c r="Y135" s="264"/>
      <c r="Z135" s="264"/>
      <c r="AA135" s="117">
        <v>2132.66</v>
      </c>
      <c r="AB135" s="340">
        <f>13*21.5+23.5*12</f>
        <v>561.5</v>
      </c>
      <c r="AC135" s="340"/>
      <c r="AD135" s="556">
        <f>(23.5*4+12+12+12)</f>
        <v>130</v>
      </c>
      <c r="AE135" s="556">
        <f>11*5+5*5</f>
        <v>80</v>
      </c>
      <c r="AF135" s="557">
        <f>7*24+15+9+37</f>
        <v>229</v>
      </c>
      <c r="AG135" s="557"/>
      <c r="AH135" s="116">
        <f>10*4*2-10+10*5+4*10+3</f>
        <v>163</v>
      </c>
      <c r="AI135" s="116"/>
      <c r="AJ135" s="116"/>
      <c r="AK135" s="116"/>
      <c r="AL135" s="557"/>
      <c r="AM135" s="116">
        <f>1.5*12+6*2*24+7*2*24+13*2*3+32*14-14-9-37</f>
        <v>1108</v>
      </c>
      <c r="AN135" s="268">
        <f t="shared" si="39"/>
        <v>1571.1599999999999</v>
      </c>
      <c r="AO135" s="269">
        <f t="shared" si="36"/>
        <v>1710</v>
      </c>
      <c r="AP135" s="270">
        <f>(AM135+AL135)*0.3+(AG135+AF135+AE135+AD135)*0.6</f>
        <v>595.79999999999995</v>
      </c>
      <c r="AQ135" s="115">
        <f t="shared" si="37"/>
        <v>338.20000000000005</v>
      </c>
      <c r="AR135" s="303">
        <f>AP135*0.138562</f>
        <v>82.555239599999993</v>
      </c>
      <c r="AS135" s="556">
        <f>AM135+AH135</f>
        <v>1271</v>
      </c>
      <c r="AT135" s="256">
        <f>AD135+AE135+AF135+AS135+AG135+AL135</f>
        <v>1710</v>
      </c>
      <c r="AU135" s="132">
        <f t="shared" si="22"/>
        <v>644.70000000000005</v>
      </c>
      <c r="AV135" s="257"/>
    </row>
    <row r="136" spans="1:48" s="239" customFormat="1" thickBot="1">
      <c r="B136" s="275" t="s">
        <v>320</v>
      </c>
      <c r="C136" s="276"/>
      <c r="D136" s="276"/>
      <c r="E136" s="327">
        <f>SUM(E133:E135)</f>
        <v>1084</v>
      </c>
      <c r="F136" s="327">
        <f>SUM(F133:F135)</f>
        <v>2934</v>
      </c>
      <c r="G136" s="397">
        <f>SUM(G133:G135)</f>
        <v>325.52953600000001</v>
      </c>
      <c r="H136" s="397">
        <f>SUM(H133:H135)</f>
        <v>363.95683200000002</v>
      </c>
      <c r="I136" s="397"/>
      <c r="J136" s="397"/>
      <c r="K136" s="327"/>
      <c r="L136" s="328">
        <f>SUM(L133:L135)</f>
        <v>858.076368</v>
      </c>
      <c r="M136" s="263">
        <f>E143</f>
        <v>973</v>
      </c>
      <c r="N136" s="173">
        <f>E143/C143</f>
        <v>69.5</v>
      </c>
      <c r="O136" s="173">
        <f>N136*3</f>
        <v>208.5</v>
      </c>
      <c r="P136" s="173">
        <f>E143-O136</f>
        <v>764.5</v>
      </c>
      <c r="Q136" s="264"/>
      <c r="R136" s="264"/>
      <c r="S136" s="264"/>
      <c r="T136" s="264">
        <f>L143/20*4</f>
        <v>105.9978464</v>
      </c>
      <c r="U136" s="265">
        <f>L143*0.9227</f>
        <v>489.02106436639997</v>
      </c>
      <c r="V136" s="266"/>
      <c r="W136" s="264"/>
      <c r="X136" s="264"/>
      <c r="Y136" s="264"/>
      <c r="Z136" s="264"/>
      <c r="AA136" s="117"/>
      <c r="AB136" s="117"/>
      <c r="AC136" s="382"/>
      <c r="AD136" s="382"/>
      <c r="AE136" s="382"/>
      <c r="AF136" s="382"/>
      <c r="AG136" s="382"/>
      <c r="AH136" s="300"/>
      <c r="AI136" s="300"/>
      <c r="AJ136" s="300"/>
      <c r="AK136" s="300"/>
      <c r="AL136" s="300"/>
      <c r="AM136" s="300">
        <f t="shared" ref="AM136:AM142" si="40">AA136-AB136-AD136-AE136-AF136-AH136</f>
        <v>0</v>
      </c>
      <c r="AN136" s="269">
        <f t="shared" si="39"/>
        <v>0</v>
      </c>
      <c r="AO136" s="269">
        <f t="shared" si="36"/>
        <v>0</v>
      </c>
      <c r="AP136" s="270">
        <f>(AM136+AL136+AH136)*0.3+(AG136+AF136+AE136+AD136)*0.6</f>
        <v>0</v>
      </c>
      <c r="AQ136" s="115">
        <f t="shared" si="37"/>
        <v>2934</v>
      </c>
      <c r="AR136" s="303">
        <f>AP136*0.138562</f>
        <v>0</v>
      </c>
      <c r="AS136" s="308"/>
      <c r="AT136" s="302">
        <f>AD136+AE136+AF136+AH136+AM136</f>
        <v>0</v>
      </c>
      <c r="AU136" s="132">
        <f t="shared" si="22"/>
        <v>0</v>
      </c>
      <c r="AV136" s="257"/>
    </row>
    <row r="137" spans="1:48" s="239" customFormat="1" ht="15">
      <c r="B137" s="309" t="s">
        <v>415</v>
      </c>
      <c r="C137" s="242"/>
      <c r="D137" s="242"/>
      <c r="E137" s="318"/>
      <c r="F137" s="318"/>
      <c r="G137" s="399"/>
      <c r="H137" s="399"/>
      <c r="I137" s="399"/>
      <c r="J137" s="399"/>
      <c r="K137" s="398"/>
      <c r="L137" s="400"/>
      <c r="M137" s="263">
        <f>E144</f>
        <v>942</v>
      </c>
      <c r="N137" s="173">
        <f>E144/C144</f>
        <v>67.285714285714292</v>
      </c>
      <c r="O137" s="173">
        <f>N137*3</f>
        <v>201.85714285714289</v>
      </c>
      <c r="P137" s="173">
        <f>E144-O137</f>
        <v>740.14285714285711</v>
      </c>
      <c r="Q137" s="264"/>
      <c r="R137" s="264"/>
      <c r="S137" s="264"/>
      <c r="T137" s="264"/>
      <c r="U137" s="265">
        <f>L144*0.9227</f>
        <v>542.92592176319999</v>
      </c>
      <c r="V137" s="266"/>
      <c r="W137" s="264"/>
      <c r="X137" s="264"/>
      <c r="Y137" s="264"/>
      <c r="Z137" s="264"/>
      <c r="AA137" s="117"/>
      <c r="AB137" s="117"/>
      <c r="AC137" s="117"/>
      <c r="AD137" s="117"/>
      <c r="AE137" s="117"/>
      <c r="AF137" s="117"/>
      <c r="AG137" s="117"/>
      <c r="AH137" s="269"/>
      <c r="AI137" s="269"/>
      <c r="AJ137" s="269"/>
      <c r="AK137" s="269"/>
      <c r="AL137" s="269"/>
      <c r="AM137" s="269">
        <f t="shared" si="40"/>
        <v>0</v>
      </c>
      <c r="AN137" s="269">
        <f t="shared" si="39"/>
        <v>0</v>
      </c>
      <c r="AO137" s="269">
        <f t="shared" si="36"/>
        <v>0</v>
      </c>
      <c r="AP137" s="270">
        <f>(AM137+AL137)*0.3+(AG137+AF137+AE137+AD137)*0.6</f>
        <v>0</v>
      </c>
      <c r="AQ137" s="115">
        <f t="shared" si="37"/>
        <v>0</v>
      </c>
      <c r="AR137" s="267"/>
      <c r="AS137" s="383"/>
      <c r="AT137" s="316">
        <f>AD137+AE137+AF137+AH137+AM137</f>
        <v>0</v>
      </c>
      <c r="AU137" s="132">
        <f t="shared" si="22"/>
        <v>0</v>
      </c>
      <c r="AV137" s="257"/>
    </row>
    <row r="138" spans="1:48" s="239" customFormat="1" ht="15" customHeight="1">
      <c r="A138" s="239">
        <v>60</v>
      </c>
      <c r="B138" s="240" t="s">
        <v>416</v>
      </c>
      <c r="C138" s="258">
        <v>5</v>
      </c>
      <c r="D138" s="259">
        <v>4</v>
      </c>
      <c r="E138" s="260">
        <v>278</v>
      </c>
      <c r="F138" s="260">
        <v>1376</v>
      </c>
      <c r="G138" s="261">
        <f>E138*0.300304</f>
        <v>83.484512000000009</v>
      </c>
      <c r="H138" s="261">
        <f>F138*0.124048</f>
        <v>170.69004800000002</v>
      </c>
      <c r="I138" s="259"/>
      <c r="J138" s="259"/>
      <c r="K138" s="259"/>
      <c r="L138" s="262">
        <f>SUM(G138:K138)</f>
        <v>254.17456000000004</v>
      </c>
      <c r="M138" s="263"/>
      <c r="N138" s="264"/>
      <c r="O138" s="173"/>
      <c r="P138" s="173"/>
      <c r="Q138" s="264"/>
      <c r="R138" s="264"/>
      <c r="S138" s="271">
        <f>T138-L145</f>
        <v>26.805499200000042</v>
      </c>
      <c r="T138" s="271">
        <f>L145*1.1</f>
        <v>294.86049120000007</v>
      </c>
      <c r="U138" s="265">
        <v>1527.07</v>
      </c>
      <c r="V138" s="266">
        <f>U138/L145</f>
        <v>5.6968534277473921</v>
      </c>
      <c r="W138" s="264"/>
      <c r="X138" s="264"/>
      <c r="Y138" s="264"/>
      <c r="Z138" s="264"/>
      <c r="AA138" s="115">
        <v>2800</v>
      </c>
      <c r="AB138" s="267">
        <v>672</v>
      </c>
      <c r="AC138" s="267"/>
      <c r="AD138" s="556">
        <v>68.2</v>
      </c>
      <c r="AE138" s="556">
        <f>5*3*4</f>
        <v>60</v>
      </c>
      <c r="AF138" s="557">
        <f>3*69</f>
        <v>207</v>
      </c>
      <c r="AG138" s="557"/>
      <c r="AH138" s="116">
        <f>10*5*3</f>
        <v>150</v>
      </c>
      <c r="AI138" s="116"/>
      <c r="AJ138" s="116"/>
      <c r="AK138" s="116"/>
      <c r="AL138" s="557"/>
      <c r="AM138" s="116">
        <f t="shared" si="40"/>
        <v>1642.8000000000002</v>
      </c>
      <c r="AN138" s="268">
        <f t="shared" si="39"/>
        <v>2128</v>
      </c>
      <c r="AO138" s="269">
        <f t="shared" si="36"/>
        <v>2128</v>
      </c>
      <c r="AP138" s="270">
        <f>(AM138+AL138)*0.3+(AG138+AF138+AE138+AD138)*0.6</f>
        <v>693.96</v>
      </c>
      <c r="AQ138" s="115">
        <f t="shared" si="37"/>
        <v>682.04</v>
      </c>
      <c r="AR138" s="303">
        <f>AP138*0.138562</f>
        <v>96.156485520000004</v>
      </c>
      <c r="AS138" s="556">
        <f>AM138+AH138</f>
        <v>1792.8000000000002</v>
      </c>
      <c r="AT138" s="256">
        <f>AD138+AE138+AF138+AS138+AG138+AL138</f>
        <v>2128</v>
      </c>
      <c r="AU138" s="132">
        <f t="shared" si="22"/>
        <v>738.96</v>
      </c>
      <c r="AV138" s="257"/>
    </row>
    <row r="139" spans="1:48" s="239" customFormat="1" ht="15" customHeight="1">
      <c r="A139" s="239">
        <v>60</v>
      </c>
      <c r="B139" s="240" t="s">
        <v>417</v>
      </c>
      <c r="C139" s="272">
        <v>5</v>
      </c>
      <c r="D139" s="260">
        <v>4</v>
      </c>
      <c r="E139" s="260">
        <v>278</v>
      </c>
      <c r="F139" s="260">
        <v>2000</v>
      </c>
      <c r="G139" s="261">
        <f>E139*0.300304</f>
        <v>83.484512000000009</v>
      </c>
      <c r="H139" s="261">
        <f>F139*0.124048</f>
        <v>248.096</v>
      </c>
      <c r="I139" s="259"/>
      <c r="J139" s="259"/>
      <c r="K139" s="259"/>
      <c r="L139" s="262">
        <f>G139+H139+I139+J139+K139</f>
        <v>331.580512</v>
      </c>
      <c r="M139" s="263">
        <f>E146</f>
        <v>2188</v>
      </c>
      <c r="N139" s="264"/>
      <c r="O139" s="173"/>
      <c r="P139" s="173"/>
      <c r="Q139" s="264"/>
      <c r="R139" s="264"/>
      <c r="S139" s="264"/>
      <c r="T139" s="264"/>
      <c r="U139" s="265"/>
      <c r="V139" s="266"/>
      <c r="W139" s="264"/>
      <c r="X139" s="264"/>
      <c r="Y139" s="264"/>
      <c r="Z139" s="264"/>
      <c r="AA139" s="115">
        <v>2800</v>
      </c>
      <c r="AB139" s="267">
        <v>672</v>
      </c>
      <c r="AC139" s="267"/>
      <c r="AD139" s="556">
        <f>68*2</f>
        <v>136</v>
      </c>
      <c r="AE139" s="556">
        <f>6*3*4</f>
        <v>72</v>
      </c>
      <c r="AF139" s="557">
        <f>66*3</f>
        <v>198</v>
      </c>
      <c r="AG139" s="557"/>
      <c r="AH139" s="118">
        <f>5*11*3+12.5*5</f>
        <v>227.5</v>
      </c>
      <c r="AI139" s="118"/>
      <c r="AJ139" s="118"/>
      <c r="AK139" s="118"/>
      <c r="AL139" s="557"/>
      <c r="AM139" s="116">
        <f t="shared" si="40"/>
        <v>1494.5</v>
      </c>
      <c r="AN139" s="268">
        <f t="shared" si="39"/>
        <v>2128</v>
      </c>
      <c r="AO139" s="269">
        <f t="shared" si="36"/>
        <v>2128</v>
      </c>
      <c r="AP139" s="270">
        <f>(AM139+AL139+AH139)*0.3+(AG139+AF139+AE139+AD139)*0.6</f>
        <v>760.2</v>
      </c>
      <c r="AQ139" s="115">
        <f t="shared" si="37"/>
        <v>1239.8</v>
      </c>
      <c r="AR139" s="303">
        <f>AP139*0.138562</f>
        <v>105.3348324</v>
      </c>
      <c r="AS139" s="556">
        <f>AM139+AH139</f>
        <v>1722</v>
      </c>
      <c r="AT139" s="256">
        <f>AD139+AE139+AF139+AS139+AG139+AL139</f>
        <v>2128</v>
      </c>
      <c r="AU139" s="132">
        <f t="shared" si="22"/>
        <v>760.2</v>
      </c>
      <c r="AV139" s="257"/>
    </row>
    <row r="140" spans="1:48" s="239" customFormat="1" ht="15" customHeight="1">
      <c r="A140" s="135"/>
      <c r="B140" s="240" t="s">
        <v>418</v>
      </c>
      <c r="C140" s="258">
        <v>5</v>
      </c>
      <c r="D140" s="260">
        <v>4</v>
      </c>
      <c r="E140" s="260">
        <v>273</v>
      </c>
      <c r="F140" s="260">
        <v>2100</v>
      </c>
      <c r="G140" s="261">
        <f>E140*0.300304</f>
        <v>81.98299200000001</v>
      </c>
      <c r="H140" s="261">
        <f>F140*0.124048</f>
        <v>260.50080000000003</v>
      </c>
      <c r="I140" s="259"/>
      <c r="J140" s="259"/>
      <c r="K140" s="259"/>
      <c r="L140" s="262">
        <f>G140+H140+I140+J140+K140</f>
        <v>342.48379200000005</v>
      </c>
      <c r="M140" s="263"/>
      <c r="N140" s="172"/>
      <c r="O140" s="173"/>
      <c r="P140" s="173"/>
      <c r="Q140" s="271"/>
      <c r="R140" s="271"/>
      <c r="S140" s="271"/>
      <c r="T140" s="271"/>
      <c r="U140" s="265"/>
      <c r="V140" s="266"/>
      <c r="W140" s="271"/>
      <c r="X140" s="271"/>
      <c r="Y140" s="271"/>
      <c r="Z140" s="271"/>
      <c r="AA140" s="413">
        <v>2546</v>
      </c>
      <c r="AB140" s="414">
        <v>672</v>
      </c>
      <c r="AC140" s="414"/>
      <c r="AD140" s="556">
        <f>68*2</f>
        <v>136</v>
      </c>
      <c r="AE140" s="556">
        <f>4*4*3</f>
        <v>48</v>
      </c>
      <c r="AF140" s="557">
        <f>62*3</f>
        <v>186</v>
      </c>
      <c r="AG140" s="557"/>
      <c r="AH140" s="118">
        <f>11*4*3+10*4*2+7*12*2+5*12*2</f>
        <v>500</v>
      </c>
      <c r="AI140" s="118"/>
      <c r="AJ140" s="118"/>
      <c r="AK140" s="118"/>
      <c r="AL140" s="557"/>
      <c r="AM140" s="116">
        <f t="shared" si="40"/>
        <v>1004</v>
      </c>
      <c r="AN140" s="268">
        <f t="shared" si="39"/>
        <v>1874</v>
      </c>
      <c r="AO140" s="269">
        <f t="shared" si="36"/>
        <v>1874</v>
      </c>
      <c r="AP140" s="270">
        <f>(AM140+AL140+AH140)*0.3+(AG140+AF140+AE140+AD140)*0.6</f>
        <v>673.2</v>
      </c>
      <c r="AQ140" s="115">
        <f t="shared" si="37"/>
        <v>1426.8</v>
      </c>
      <c r="AR140" s="303">
        <f>AP140*0.138562</f>
        <v>93.279938400000006</v>
      </c>
      <c r="AS140" s="556">
        <f>AM140+AH140</f>
        <v>1504</v>
      </c>
      <c r="AT140" s="256">
        <f>AD140+AE140+AF140+AS140+AG140+AL140</f>
        <v>1874</v>
      </c>
      <c r="AU140" s="132">
        <f t="shared" si="22"/>
        <v>673.2</v>
      </c>
      <c r="AV140" s="257"/>
    </row>
    <row r="141" spans="1:48" s="239" customFormat="1" thickBot="1">
      <c r="B141" s="275" t="s">
        <v>320</v>
      </c>
      <c r="C141" s="276"/>
      <c r="D141" s="276"/>
      <c r="E141" s="327">
        <f t="shared" ref="E141:L141" si="41">SUM(E138:E140)</f>
        <v>829</v>
      </c>
      <c r="F141" s="327">
        <f t="shared" si="41"/>
        <v>5476</v>
      </c>
      <c r="G141" s="397">
        <f t="shared" si="41"/>
        <v>248.95201600000001</v>
      </c>
      <c r="H141" s="397">
        <f t="shared" si="41"/>
        <v>679.28684800000008</v>
      </c>
      <c r="I141" s="397">
        <f t="shared" si="41"/>
        <v>0</v>
      </c>
      <c r="J141" s="397">
        <f t="shared" si="41"/>
        <v>0</v>
      </c>
      <c r="K141" s="327">
        <f t="shared" si="41"/>
        <v>0</v>
      </c>
      <c r="L141" s="328">
        <f t="shared" si="41"/>
        <v>928.23886400000015</v>
      </c>
      <c r="M141" s="263"/>
      <c r="N141" s="264"/>
      <c r="O141" s="173"/>
      <c r="P141" s="173"/>
      <c r="Q141" s="264"/>
      <c r="R141" s="264"/>
      <c r="S141" s="271">
        <f>T141-L146</f>
        <v>138.64542400000005</v>
      </c>
      <c r="T141" s="271">
        <f>L146*1.1</f>
        <v>1525.0996640000003</v>
      </c>
      <c r="U141" s="265">
        <v>1895.55</v>
      </c>
      <c r="V141" s="266">
        <f>U141/L146</f>
        <v>1.3671926164688994</v>
      </c>
      <c r="W141" s="264"/>
      <c r="X141" s="264"/>
      <c r="Y141" s="264"/>
      <c r="Z141" s="264"/>
      <c r="AA141" s="115"/>
      <c r="AB141" s="115"/>
      <c r="AC141" s="385"/>
      <c r="AD141" s="385"/>
      <c r="AE141" s="385"/>
      <c r="AF141" s="305"/>
      <c r="AG141" s="305"/>
      <c r="AH141" s="307"/>
      <c r="AI141" s="307"/>
      <c r="AJ141" s="307"/>
      <c r="AK141" s="307"/>
      <c r="AL141" s="307"/>
      <c r="AM141" s="300">
        <f t="shared" si="40"/>
        <v>0</v>
      </c>
      <c r="AN141" s="269">
        <f t="shared" si="39"/>
        <v>0</v>
      </c>
      <c r="AO141" s="269">
        <f t="shared" si="36"/>
        <v>0</v>
      </c>
      <c r="AP141" s="270">
        <f>(AM141+AL141)*0.3+(AG141+AF141+AE141+AD141)*0.6</f>
        <v>0</v>
      </c>
      <c r="AQ141" s="115">
        <f t="shared" si="37"/>
        <v>5476</v>
      </c>
      <c r="AR141" s="267"/>
      <c r="AS141" s="251"/>
      <c r="AT141" s="302">
        <f>AD141+AE141+AF141+AH141+AM141</f>
        <v>0</v>
      </c>
      <c r="AU141" s="132">
        <f t="shared" si="22"/>
        <v>0</v>
      </c>
      <c r="AV141" s="257"/>
    </row>
    <row r="142" spans="1:48" s="239" customFormat="1" ht="10.5" customHeight="1">
      <c r="B142" s="309" t="s">
        <v>419</v>
      </c>
      <c r="C142" s="242"/>
      <c r="D142" s="242"/>
      <c r="E142" s="398"/>
      <c r="F142" s="398"/>
      <c r="G142" s="399"/>
      <c r="H142" s="399"/>
      <c r="I142" s="399"/>
      <c r="J142" s="399"/>
      <c r="K142" s="398"/>
      <c r="L142" s="400"/>
      <c r="M142" s="263">
        <f>E147</f>
        <v>0</v>
      </c>
      <c r="N142" s="264"/>
      <c r="O142" s="173"/>
      <c r="P142" s="173"/>
      <c r="Q142" s="264"/>
      <c r="R142" s="264"/>
      <c r="S142" s="264"/>
      <c r="T142" s="264"/>
      <c r="U142" s="265"/>
      <c r="V142" s="266"/>
      <c r="W142" s="264"/>
      <c r="X142" s="264"/>
      <c r="Y142" s="264"/>
      <c r="Z142" s="264"/>
      <c r="AA142" s="115"/>
      <c r="AB142" s="115"/>
      <c r="AC142" s="115"/>
      <c r="AD142" s="115"/>
      <c r="AE142" s="115"/>
      <c r="AF142" s="115"/>
      <c r="AG142" s="115"/>
      <c r="AH142" s="321"/>
      <c r="AI142" s="321"/>
      <c r="AJ142" s="321"/>
      <c r="AK142" s="321"/>
      <c r="AL142" s="321"/>
      <c r="AM142" s="269">
        <f t="shared" si="40"/>
        <v>0</v>
      </c>
      <c r="AN142" s="269">
        <f t="shared" si="39"/>
        <v>0</v>
      </c>
      <c r="AO142" s="269">
        <f t="shared" si="36"/>
        <v>0</v>
      </c>
      <c r="AP142" s="270">
        <f>(AM142+AL142)*0.3+(AG142+AF142+AE142+AD142)*0.6</f>
        <v>0</v>
      </c>
      <c r="AQ142" s="115">
        <f t="shared" si="37"/>
        <v>0</v>
      </c>
      <c r="AR142" s="267"/>
      <c r="AS142" s="383"/>
      <c r="AT142" s="316">
        <f>AD142+AE142+AF142+AH142+AM142</f>
        <v>0</v>
      </c>
      <c r="AU142" s="132">
        <f t="shared" si="22"/>
        <v>0</v>
      </c>
      <c r="AV142" s="257"/>
    </row>
    <row r="143" spans="1:48" s="239" customFormat="1" ht="15" customHeight="1">
      <c r="A143" s="239">
        <v>81</v>
      </c>
      <c r="B143" s="415" t="s">
        <v>420</v>
      </c>
      <c r="C143" s="258">
        <v>14</v>
      </c>
      <c r="D143" s="259">
        <v>1</v>
      </c>
      <c r="E143" s="260">
        <v>973</v>
      </c>
      <c r="F143" s="260">
        <v>1530</v>
      </c>
      <c r="G143" s="261">
        <f>E143*0.300304</f>
        <v>292.19579200000004</v>
      </c>
      <c r="H143" s="261">
        <f>F143*0.124048</f>
        <v>189.79344</v>
      </c>
      <c r="I143" s="261">
        <f>40.2*D143</f>
        <v>40.200000000000003</v>
      </c>
      <c r="J143" s="261">
        <v>7.8</v>
      </c>
      <c r="K143" s="416"/>
      <c r="L143" s="262">
        <f>SUM(G143:K143)</f>
        <v>529.98923200000002</v>
      </c>
      <c r="M143" s="263"/>
      <c r="N143" s="264"/>
      <c r="O143" s="173"/>
      <c r="P143" s="173"/>
      <c r="Q143" s="264"/>
      <c r="R143" s="264"/>
      <c r="S143" s="271">
        <f>T143-L149</f>
        <v>46.260843200000068</v>
      </c>
      <c r="T143" s="271">
        <f>L149*1.1</f>
        <v>508.86927520000012</v>
      </c>
      <c r="U143" s="265">
        <v>1351.84</v>
      </c>
      <c r="V143" s="266">
        <f>U143/L149</f>
        <v>2.9222121917570232</v>
      </c>
      <c r="W143" s="264"/>
      <c r="X143" s="264"/>
      <c r="Y143" s="264"/>
      <c r="Z143" s="264"/>
      <c r="AA143" s="115"/>
      <c r="AB143" s="267"/>
      <c r="AC143" s="267"/>
      <c r="AD143" s="556">
        <f>37.8</f>
        <v>37.799999999999997</v>
      </c>
      <c r="AE143" s="556">
        <f>8*7.4</f>
        <v>59.2</v>
      </c>
      <c r="AF143" s="557">
        <f>270+45.05+17.6+51.8</f>
        <v>384.45000000000005</v>
      </c>
      <c r="AG143" s="557"/>
      <c r="AH143" s="116">
        <f>24+58.4</f>
        <v>82.4</v>
      </c>
      <c r="AI143" s="116"/>
      <c r="AJ143" s="116"/>
      <c r="AK143" s="116"/>
      <c r="AL143" s="557"/>
      <c r="AM143" s="116">
        <f>1462-34.4+72+105.3+108</f>
        <v>1712.8999999999999</v>
      </c>
      <c r="AN143" s="268">
        <f t="shared" si="39"/>
        <v>0</v>
      </c>
      <c r="AO143" s="269">
        <f t="shared" si="36"/>
        <v>2276.75</v>
      </c>
      <c r="AP143" s="270">
        <f>(AM143+AL143+AH143)*0.3+(AG143+AF143+AE143+AD143)*0.6</f>
        <v>827.45999999999992</v>
      </c>
      <c r="AQ143" s="115">
        <f t="shared" si="37"/>
        <v>702.54000000000008</v>
      </c>
      <c r="AR143" s="303">
        <f t="shared" ref="AR143:AR148" si="42">AP143*0.138562</f>
        <v>114.65451251999998</v>
      </c>
      <c r="AS143" s="556">
        <f>AM143+AH143</f>
        <v>1795.3</v>
      </c>
      <c r="AT143" s="256">
        <f>AD143+AE143+AF143+AS143+AG143+AL143</f>
        <v>2276.75</v>
      </c>
      <c r="AU143" s="132">
        <f t="shared" si="22"/>
        <v>827.45999999999992</v>
      </c>
      <c r="AV143" s="257"/>
    </row>
    <row r="144" spans="1:48" s="239" customFormat="1" ht="15" customHeight="1">
      <c r="A144" s="239">
        <v>81</v>
      </c>
      <c r="B144" s="415" t="s">
        <v>421</v>
      </c>
      <c r="C144" s="258">
        <v>14</v>
      </c>
      <c r="D144" s="259">
        <v>1</v>
      </c>
      <c r="E144" s="260">
        <v>942</v>
      </c>
      <c r="F144" s="260">
        <v>2076</v>
      </c>
      <c r="G144" s="261">
        <f>E144*0.300304</f>
        <v>282.886368</v>
      </c>
      <c r="H144" s="261">
        <f>F144*0.124048</f>
        <v>257.52364800000004</v>
      </c>
      <c r="I144" s="261">
        <f>40.2*D144</f>
        <v>40.200000000000003</v>
      </c>
      <c r="J144" s="261">
        <v>7.8</v>
      </c>
      <c r="K144" s="416"/>
      <c r="L144" s="262">
        <f>SUM(G144:K144)</f>
        <v>588.41001600000004</v>
      </c>
      <c r="M144" s="263"/>
      <c r="N144" s="173"/>
      <c r="O144" s="173"/>
      <c r="P144" s="173"/>
      <c r="Q144" s="264"/>
      <c r="R144" s="264"/>
      <c r="S144" s="264"/>
      <c r="T144" s="264"/>
      <c r="U144" s="265"/>
      <c r="V144" s="266"/>
      <c r="W144" s="264"/>
      <c r="X144" s="264"/>
      <c r="Y144" s="264"/>
      <c r="Z144" s="264"/>
      <c r="AA144" s="115"/>
      <c r="AB144" s="267"/>
      <c r="AC144" s="267"/>
      <c r="AD144" s="556">
        <f>37.8</f>
        <v>37.799999999999997</v>
      </c>
      <c r="AE144" s="556">
        <f>8*7.4</f>
        <v>59.2</v>
      </c>
      <c r="AF144" s="557">
        <v>316.55</v>
      </c>
      <c r="AG144" s="557"/>
      <c r="AH144" s="116">
        <v>82</v>
      </c>
      <c r="AI144" s="116"/>
      <c r="AJ144" s="116"/>
      <c r="AK144" s="116"/>
      <c r="AL144" s="557"/>
      <c r="AM144" s="116">
        <f>1200-52.5+67.85</f>
        <v>1215.3499999999999</v>
      </c>
      <c r="AN144" s="268">
        <f t="shared" si="39"/>
        <v>0</v>
      </c>
      <c r="AO144" s="269">
        <f t="shared" si="36"/>
        <v>1710.8999999999999</v>
      </c>
      <c r="AP144" s="270">
        <f>(AM144+AL144+AH144)*0.3+(AG144+AF144+AE144+AD144)*0.6</f>
        <v>637.33500000000004</v>
      </c>
      <c r="AQ144" s="115">
        <f t="shared" si="37"/>
        <v>1438.665</v>
      </c>
      <c r="AR144" s="303">
        <f t="shared" si="42"/>
        <v>88.31041227</v>
      </c>
      <c r="AS144" s="556">
        <f>AM144+AH144</f>
        <v>1297.3499999999999</v>
      </c>
      <c r="AT144" s="256">
        <f>AD144+AE144+AF144+AS144+AG144+AL144</f>
        <v>1710.8999999999999</v>
      </c>
      <c r="AU144" s="132">
        <f t="shared" si="22"/>
        <v>637.33500000000004</v>
      </c>
      <c r="AV144" s="257"/>
    </row>
    <row r="145" spans="1:48" s="239" customFormat="1" ht="15" customHeight="1">
      <c r="A145" s="239">
        <v>60</v>
      </c>
      <c r="B145" s="240" t="s">
        <v>422</v>
      </c>
      <c r="C145" s="258">
        <v>5</v>
      </c>
      <c r="D145" s="260">
        <v>4</v>
      </c>
      <c r="E145" s="260">
        <v>273</v>
      </c>
      <c r="F145" s="260">
        <v>1500</v>
      </c>
      <c r="G145" s="261">
        <f>E145*0.300304</f>
        <v>81.98299200000001</v>
      </c>
      <c r="H145" s="261">
        <f>F145*0.124048</f>
        <v>186.072</v>
      </c>
      <c r="I145" s="259"/>
      <c r="J145" s="259"/>
      <c r="K145" s="259"/>
      <c r="L145" s="262">
        <f>SUM(G145:K145)</f>
        <v>268.05499200000003</v>
      </c>
      <c r="M145" s="263">
        <f>E150</f>
        <v>0</v>
      </c>
      <c r="N145" s="173">
        <f>E150/C150</f>
        <v>0</v>
      </c>
      <c r="O145" s="173">
        <f>N145*3</f>
        <v>0</v>
      </c>
      <c r="P145" s="173">
        <f>E150-O145</f>
        <v>0</v>
      </c>
      <c r="Q145" s="264"/>
      <c r="R145" s="264"/>
      <c r="S145" s="264"/>
      <c r="T145" s="264"/>
      <c r="U145" s="265">
        <f>1.0495*L150</f>
        <v>794.19342448000009</v>
      </c>
      <c r="V145" s="266"/>
      <c r="W145" s="264"/>
      <c r="X145" s="264"/>
      <c r="Y145" s="264"/>
      <c r="Z145" s="264"/>
      <c r="AA145" s="115">
        <v>2232</v>
      </c>
      <c r="AB145" s="267">
        <v>672</v>
      </c>
      <c r="AC145" s="267"/>
      <c r="AD145" s="556">
        <f>68*2</f>
        <v>136</v>
      </c>
      <c r="AE145" s="556">
        <f>4*4*3+4*11*5</f>
        <v>268</v>
      </c>
      <c r="AF145" s="557">
        <f>6*20+4.2*66</f>
        <v>397.2</v>
      </c>
      <c r="AG145" s="557"/>
      <c r="AH145" s="118">
        <f>14.2*8.5*6</f>
        <v>724.19999999999993</v>
      </c>
      <c r="AI145" s="118"/>
      <c r="AJ145" s="118"/>
      <c r="AK145" s="118"/>
      <c r="AL145" s="557"/>
      <c r="AM145" s="116">
        <f>AA145-AB145-AD145-AE145-AF145-AH145</f>
        <v>34.600000000000023</v>
      </c>
      <c r="AN145" s="268">
        <f t="shared" si="39"/>
        <v>1560</v>
      </c>
      <c r="AO145" s="269">
        <f t="shared" si="36"/>
        <v>1560</v>
      </c>
      <c r="AP145" s="270">
        <f>(AM145+AL145)*0.3+(AG145+AF145+AE145+AD145)*0.6</f>
        <v>491.1</v>
      </c>
      <c r="AQ145" s="115">
        <f t="shared" si="37"/>
        <v>1008.9</v>
      </c>
      <c r="AR145" s="303">
        <f t="shared" si="42"/>
        <v>68.047798200000003</v>
      </c>
      <c r="AS145" s="556">
        <f>AM145+AH145</f>
        <v>758.8</v>
      </c>
      <c r="AT145" s="256">
        <f>AD145+AE145+AF145+AS145+AG145+AL145</f>
        <v>1560</v>
      </c>
      <c r="AU145" s="132">
        <f t="shared" si="22"/>
        <v>708.36</v>
      </c>
      <c r="AV145" s="257"/>
    </row>
    <row r="146" spans="1:48" s="239" customFormat="1" thickBot="1">
      <c r="B146" s="275" t="s">
        <v>320</v>
      </c>
      <c r="C146" s="276"/>
      <c r="D146" s="276"/>
      <c r="E146" s="327">
        <f>SUM(E143:E145)</f>
        <v>2188</v>
      </c>
      <c r="F146" s="327">
        <f>SUM(F143:F145)</f>
        <v>5106</v>
      </c>
      <c r="G146" s="397">
        <f>SUM(G143:G145)</f>
        <v>657.06515200000001</v>
      </c>
      <c r="H146" s="397">
        <f>SUM(H143:H145)</f>
        <v>633.38908800000002</v>
      </c>
      <c r="I146" s="397"/>
      <c r="J146" s="397"/>
      <c r="K146" s="327">
        <f>SUM(K143:K145)</f>
        <v>0</v>
      </c>
      <c r="L146" s="328">
        <f>SUM(L143:L145)</f>
        <v>1386.4542400000003</v>
      </c>
      <c r="M146" s="263">
        <f>E152</f>
        <v>0</v>
      </c>
      <c r="N146" s="264"/>
      <c r="O146" s="173"/>
      <c r="P146" s="173"/>
      <c r="Q146" s="264"/>
      <c r="R146" s="264"/>
      <c r="S146" s="264"/>
      <c r="T146" s="264"/>
      <c r="U146" s="265"/>
      <c r="V146" s="266"/>
      <c r="W146" s="264"/>
      <c r="X146" s="264"/>
      <c r="Y146" s="264"/>
      <c r="Z146" s="264"/>
      <c r="AA146" s="115"/>
      <c r="AB146" s="115"/>
      <c r="AC146" s="385"/>
      <c r="AD146" s="385"/>
      <c r="AE146" s="385"/>
      <c r="AF146" s="385"/>
      <c r="AG146" s="385"/>
      <c r="AH146" s="403"/>
      <c r="AI146" s="403"/>
      <c r="AJ146" s="403"/>
      <c r="AK146" s="403"/>
      <c r="AL146" s="403"/>
      <c r="AM146" s="300"/>
      <c r="AN146" s="269"/>
      <c r="AO146" s="269">
        <f t="shared" si="36"/>
        <v>0</v>
      </c>
      <c r="AP146" s="270">
        <f>(AM146+AL146)*0.3+(AG146+AF146+AE146+AD146)*0.6</f>
        <v>0</v>
      </c>
      <c r="AQ146" s="115">
        <f t="shared" si="37"/>
        <v>5106</v>
      </c>
      <c r="AR146" s="303">
        <f t="shared" si="42"/>
        <v>0</v>
      </c>
      <c r="AS146" s="308"/>
      <c r="AT146" s="302">
        <f>AD146+AE146+AF146+AH146+AM146</f>
        <v>0</v>
      </c>
      <c r="AU146" s="132">
        <f t="shared" si="22"/>
        <v>0</v>
      </c>
      <c r="AV146" s="257"/>
    </row>
    <row r="147" spans="1:48" s="239" customFormat="1" ht="14.25" customHeight="1">
      <c r="B147" s="309" t="s">
        <v>423</v>
      </c>
      <c r="C147" s="319"/>
      <c r="D147" s="319"/>
      <c r="E147" s="398"/>
      <c r="F147" s="398"/>
      <c r="G147" s="399"/>
      <c r="H147" s="399"/>
      <c r="I147" s="399"/>
      <c r="J147" s="399"/>
      <c r="K147" s="398"/>
      <c r="L147" s="400"/>
      <c r="M147" s="263">
        <f>E153</f>
        <v>302</v>
      </c>
      <c r="N147" s="173">
        <f>E153/C153</f>
        <v>60.4</v>
      </c>
      <c r="O147" s="173">
        <f>N147*3</f>
        <v>181.2</v>
      </c>
      <c r="P147" s="173">
        <f>E153-O147</f>
        <v>120.80000000000001</v>
      </c>
      <c r="Q147" s="264"/>
      <c r="R147" s="264"/>
      <c r="S147" s="264"/>
      <c r="T147" s="264"/>
      <c r="U147" s="265">
        <f>L153*1.147</f>
        <v>469.54867464</v>
      </c>
      <c r="V147" s="266"/>
      <c r="W147" s="264"/>
      <c r="X147" s="264"/>
      <c r="Y147" s="264"/>
      <c r="Z147" s="264"/>
      <c r="AA147" s="115"/>
      <c r="AB147" s="115"/>
      <c r="AC147" s="115"/>
      <c r="AD147" s="115"/>
      <c r="AE147" s="115"/>
      <c r="AF147" s="115"/>
      <c r="AG147" s="115"/>
      <c r="AH147" s="321"/>
      <c r="AI147" s="321"/>
      <c r="AJ147" s="321"/>
      <c r="AK147" s="321"/>
      <c r="AL147" s="321"/>
      <c r="AM147" s="269"/>
      <c r="AN147" s="269"/>
      <c r="AO147" s="269">
        <f t="shared" si="36"/>
        <v>0</v>
      </c>
      <c r="AP147" s="270">
        <f>(AM147+AL147)*0.3+(AG147+AF147+AE147+AD147)*0.6</f>
        <v>0</v>
      </c>
      <c r="AQ147" s="115">
        <f t="shared" si="37"/>
        <v>0</v>
      </c>
      <c r="AR147" s="303">
        <f t="shared" si="42"/>
        <v>0</v>
      </c>
      <c r="AS147" s="322"/>
      <c r="AT147" s="316">
        <f>AD147+AE147+AF147+AH147+AM147</f>
        <v>0</v>
      </c>
      <c r="AU147" s="132">
        <f t="shared" ref="AU147:AU210" si="43">(AD147+AE147+AF147+AG147)*0.6+(AH147+AM147+AL147)*0.3</f>
        <v>0</v>
      </c>
      <c r="AV147" s="257"/>
    </row>
    <row r="148" spans="1:48" s="239" customFormat="1" ht="15" customHeight="1">
      <c r="A148" s="239">
        <v>160</v>
      </c>
      <c r="B148" s="240" t="s">
        <v>424</v>
      </c>
      <c r="C148" s="258">
        <v>9</v>
      </c>
      <c r="D148" s="259">
        <v>5</v>
      </c>
      <c r="E148" s="260">
        <v>1344</v>
      </c>
      <c r="F148" s="260">
        <v>2275</v>
      </c>
      <c r="G148" s="261">
        <f>E148*0.300304</f>
        <v>403.60857600000003</v>
      </c>
      <c r="H148" s="261">
        <f>F148*0.124048</f>
        <v>282.20920000000001</v>
      </c>
      <c r="I148" s="261">
        <f>40.2*D148</f>
        <v>201</v>
      </c>
      <c r="J148" s="261">
        <f>1.95*D148</f>
        <v>9.75</v>
      </c>
      <c r="K148" s="416"/>
      <c r="L148" s="417">
        <f>SUM(G148:K148)</f>
        <v>896.56777600000009</v>
      </c>
      <c r="M148" s="263"/>
      <c r="N148" s="264"/>
      <c r="O148" s="173"/>
      <c r="P148" s="173"/>
      <c r="Q148" s="264"/>
      <c r="R148" s="264"/>
      <c r="S148" s="271">
        <f>T148-L154</f>
        <v>29.552374400000019</v>
      </c>
      <c r="T148" s="271">
        <f>L154*1.1</f>
        <v>325.07611840000004</v>
      </c>
      <c r="U148" s="265">
        <v>884.08</v>
      </c>
      <c r="V148" s="266">
        <f>U148/L154</f>
        <v>2.9915701122140628</v>
      </c>
      <c r="W148" s="264"/>
      <c r="X148" s="264"/>
      <c r="Y148" s="264"/>
      <c r="Z148" s="264"/>
      <c r="AA148" s="115">
        <f>5099.61</f>
        <v>5099.6099999999997</v>
      </c>
      <c r="AB148" s="267">
        <v>1124.5</v>
      </c>
      <c r="AC148" s="267"/>
      <c r="AD148" s="556">
        <f>1.2*87</f>
        <v>104.39999999999999</v>
      </c>
      <c r="AE148" s="556">
        <f>5.5*5.5*5</f>
        <v>151.25</v>
      </c>
      <c r="AF148" s="557">
        <f>19*1.6+3.3+8.5*13+11.5*7.4+3.5+4*9+3.5+1.5+23*11.5+13.4+1.3+78*3.5</f>
        <v>825.99999999999989</v>
      </c>
      <c r="AG148" s="565"/>
      <c r="AH148" s="118">
        <f>5*6/2+5*11+4.2*11+5*8/2</f>
        <v>136.19999999999999</v>
      </c>
      <c r="AI148" s="118"/>
      <c r="AJ148" s="118"/>
      <c r="AK148" s="118"/>
      <c r="AL148" s="557"/>
      <c r="AM148" s="116">
        <f>AA148-AB148-AD148-AE148-AF148-AH148</f>
        <v>2757.2599999999998</v>
      </c>
      <c r="AN148" s="268">
        <f>AA148-AB148</f>
        <v>3975.1099999999997</v>
      </c>
      <c r="AO148" s="269">
        <f t="shared" si="36"/>
        <v>3975.1099999999997</v>
      </c>
      <c r="AP148" s="270">
        <f>(AM148+AL148+AH148)*0.3+(AG148+AF148+AE148+AD148)*0.6</f>
        <v>1517.0279999999998</v>
      </c>
      <c r="AQ148" s="115">
        <f t="shared" si="37"/>
        <v>757.97200000000021</v>
      </c>
      <c r="AR148" s="303">
        <f t="shared" si="42"/>
        <v>210.20243373599996</v>
      </c>
      <c r="AS148" s="556">
        <f>AM148+AH148</f>
        <v>2893.4599999999996</v>
      </c>
      <c r="AT148" s="256">
        <f>AD148+AE148+AF148+AS148+AG148+AL148</f>
        <v>3975.1099999999997</v>
      </c>
      <c r="AU148" s="132">
        <f t="shared" si="43"/>
        <v>1517.0279999999998</v>
      </c>
      <c r="AV148" s="257"/>
    </row>
    <row r="149" spans="1:48" s="239" customFormat="1" ht="15" customHeight="1">
      <c r="A149" s="239">
        <f>185/2</f>
        <v>92.5</v>
      </c>
      <c r="B149" s="415" t="s">
        <v>425</v>
      </c>
      <c r="C149" s="258">
        <v>9</v>
      </c>
      <c r="D149" s="259">
        <v>5</v>
      </c>
      <c r="E149" s="260">
        <v>1508</v>
      </c>
      <c r="F149" s="260"/>
      <c r="G149" s="261">
        <f>E149*0.300304</f>
        <v>452.85843200000005</v>
      </c>
      <c r="H149" s="261"/>
      <c r="I149" s="261"/>
      <c r="J149" s="261">
        <f>1.95*D149</f>
        <v>9.75</v>
      </c>
      <c r="K149" s="416"/>
      <c r="L149" s="262">
        <f>SUM(G149:K149)</f>
        <v>462.60843200000005</v>
      </c>
      <c r="M149" s="263">
        <f>E155</f>
        <v>516</v>
      </c>
      <c r="N149" s="264"/>
      <c r="O149" s="173">
        <f>N149*3</f>
        <v>0</v>
      </c>
      <c r="P149" s="173">
        <f>E155-O149</f>
        <v>516</v>
      </c>
      <c r="Q149" s="264"/>
      <c r="R149" s="264"/>
      <c r="S149" s="264"/>
      <c r="T149" s="264"/>
      <c r="U149" s="265"/>
      <c r="V149" s="266"/>
      <c r="W149" s="264"/>
      <c r="X149" s="264"/>
      <c r="Y149" s="264"/>
      <c r="Z149" s="264"/>
      <c r="AA149" s="115"/>
      <c r="AB149" s="267"/>
      <c r="AC149" s="267"/>
      <c r="AD149" s="115"/>
      <c r="AE149" s="115"/>
      <c r="AF149" s="116"/>
      <c r="AG149" s="116"/>
      <c r="AH149" s="116"/>
      <c r="AI149" s="116"/>
      <c r="AJ149" s="116"/>
      <c r="AK149" s="116"/>
      <c r="AL149" s="118"/>
      <c r="AM149" s="116">
        <f>AA149-AB149-AD149-AE149-AF149-AH149</f>
        <v>0</v>
      </c>
      <c r="AN149" s="268">
        <f>AA149-AB149</f>
        <v>0</v>
      </c>
      <c r="AO149" s="269">
        <f t="shared" si="36"/>
        <v>0</v>
      </c>
      <c r="AP149" s="270">
        <f>(AM149+AL149+AH149)*0.3+(AG149+AF149+AE149+AD149)*0.6</f>
        <v>0</v>
      </c>
      <c r="AQ149" s="115">
        <f t="shared" si="37"/>
        <v>0</v>
      </c>
      <c r="AR149" s="267"/>
      <c r="AS149" s="410"/>
      <c r="AT149" s="123">
        <f>AD149+AE149+AF149+AH149+AM149+AG149+AL149</f>
        <v>0</v>
      </c>
      <c r="AU149" s="132">
        <f t="shared" si="43"/>
        <v>0</v>
      </c>
      <c r="AV149" s="257"/>
    </row>
    <row r="150" spans="1:48" s="239" customFormat="1" ht="15" customHeight="1">
      <c r="A150" s="239">
        <f>185/2</f>
        <v>92.5</v>
      </c>
      <c r="B150" s="396" t="s">
        <v>425</v>
      </c>
      <c r="C150" s="258">
        <v>9</v>
      </c>
      <c r="D150" s="259" t="s">
        <v>56</v>
      </c>
      <c r="E150" s="324"/>
      <c r="F150" s="259">
        <f>1414+3066</f>
        <v>4480</v>
      </c>
      <c r="G150" s="261">
        <f>E150*0.300304</f>
        <v>0</v>
      </c>
      <c r="H150" s="261">
        <f>F150*0.124048</f>
        <v>555.73504000000003</v>
      </c>
      <c r="I150" s="261">
        <f>40.2*D150</f>
        <v>201</v>
      </c>
      <c r="J150" s="261"/>
      <c r="K150" s="259"/>
      <c r="L150" s="262">
        <f>G150+H150+I150+J150+K150</f>
        <v>756.73504000000003</v>
      </c>
      <c r="M150" s="263"/>
      <c r="N150" s="173"/>
      <c r="O150" s="173"/>
      <c r="P150" s="173"/>
      <c r="Q150" s="264"/>
      <c r="R150" s="264"/>
      <c r="S150" s="264"/>
      <c r="T150" s="264"/>
      <c r="U150" s="265"/>
      <c r="V150" s="266"/>
      <c r="W150" s="264"/>
      <c r="X150" s="264"/>
      <c r="Y150" s="264"/>
      <c r="Z150" s="264"/>
      <c r="AA150" s="115">
        <v>4415</v>
      </c>
      <c r="AB150" s="267">
        <v>1008</v>
      </c>
      <c r="AC150" s="267"/>
      <c r="AD150" s="556">
        <f>1.2*(50+20+13.5+72+5.8)</f>
        <v>193.56</v>
      </c>
      <c r="AE150" s="556">
        <f>5.5*5.5*4</f>
        <v>121</v>
      </c>
      <c r="AF150" s="557">
        <f>3.2*20+8*14+45*3.2+13*13+45.7*3.3+10+13*5+5+10.5*15+10+1.5*72+6.5*14.5+10+6*14.5+14*16.5+51.7*3.5+3*21</f>
        <v>1661.51</v>
      </c>
      <c r="AG150" s="557"/>
      <c r="AH150" s="118">
        <f>50*4+12*4+2.7*45.7+7.5*4+29.5*6+20*4+15*4</f>
        <v>718.39</v>
      </c>
      <c r="AI150" s="118"/>
      <c r="AJ150" s="118"/>
      <c r="AK150" s="118"/>
      <c r="AL150" s="557"/>
      <c r="AM150" s="118">
        <f>20*19/2+13.5*67/2+4.5*20/2+20*27+27*5+28*23+22*5.3+12*16+3.5*14.5</f>
        <v>2365.6</v>
      </c>
      <c r="AN150" s="418">
        <f>AM150+AH150+AD150+AE150+AF150</f>
        <v>5060.0599999999995</v>
      </c>
      <c r="AO150" s="269">
        <f t="shared" si="36"/>
        <v>5060.0599999999995</v>
      </c>
      <c r="AP150" s="270">
        <f>(AM150+AL150)*0.3+(AG150+AF150+AE150+AD150)*0.6</f>
        <v>1895.3219999999997</v>
      </c>
      <c r="AQ150" s="115">
        <f t="shared" si="37"/>
        <v>2584.6780000000003</v>
      </c>
      <c r="AR150" s="303">
        <f t="shared" ref="AR150:AR166" si="44">AP150*0.138562</f>
        <v>262.61960696399996</v>
      </c>
      <c r="AS150" s="556">
        <f>AM150+AH150</f>
        <v>3083.99</v>
      </c>
      <c r="AT150" s="256">
        <f>AD150+AE150+AF150+AS150+AG150+AL150</f>
        <v>5060.0599999999995</v>
      </c>
      <c r="AU150" s="132">
        <f t="shared" si="43"/>
        <v>2110.8389999999999</v>
      </c>
      <c r="AV150" s="257"/>
    </row>
    <row r="151" spans="1:48" s="239" customFormat="1" thickBot="1">
      <c r="B151" s="275" t="s">
        <v>320</v>
      </c>
      <c r="C151" s="276"/>
      <c r="D151" s="276"/>
      <c r="E151" s="327">
        <f t="shared" ref="E151:L151" si="45">SUM(E148:E150)</f>
        <v>2852</v>
      </c>
      <c r="F151" s="327">
        <f t="shared" si="45"/>
        <v>6755</v>
      </c>
      <c r="G151" s="397">
        <f t="shared" si="45"/>
        <v>856.46700800000008</v>
      </c>
      <c r="H151" s="397">
        <f t="shared" si="45"/>
        <v>837.94424000000004</v>
      </c>
      <c r="I151" s="397">
        <f t="shared" si="45"/>
        <v>402</v>
      </c>
      <c r="J151" s="397">
        <f t="shared" si="45"/>
        <v>19.5</v>
      </c>
      <c r="K151" s="327">
        <f t="shared" si="45"/>
        <v>0</v>
      </c>
      <c r="L151" s="328">
        <f t="shared" si="45"/>
        <v>2115.9112480000003</v>
      </c>
      <c r="M151" s="263">
        <f>E158</f>
        <v>304</v>
      </c>
      <c r="N151" s="173">
        <f>E158/C158</f>
        <v>60.8</v>
      </c>
      <c r="O151" s="173">
        <f>N151*3</f>
        <v>182.39999999999998</v>
      </c>
      <c r="P151" s="173">
        <f>E158-O151</f>
        <v>121.60000000000002</v>
      </c>
      <c r="Q151" s="264"/>
      <c r="R151" s="264"/>
      <c r="S151" s="264"/>
      <c r="T151" s="264"/>
      <c r="U151" s="265">
        <f>1.0435*L158</f>
        <v>260.95206873600006</v>
      </c>
      <c r="V151" s="266"/>
      <c r="W151" s="264"/>
      <c r="X151" s="264"/>
      <c r="Y151" s="264"/>
      <c r="Z151" s="264"/>
      <c r="AA151" s="115"/>
      <c r="AB151" s="115"/>
      <c r="AC151" s="385"/>
      <c r="AD151" s="385"/>
      <c r="AE151" s="385"/>
      <c r="AF151" s="385"/>
      <c r="AG151" s="385"/>
      <c r="AH151" s="307"/>
      <c r="AI151" s="307"/>
      <c r="AJ151" s="307"/>
      <c r="AK151" s="307"/>
      <c r="AL151" s="307"/>
      <c r="AM151" s="300">
        <f t="shared" ref="AM151:AM163" si="46">AA151-AB151-AD151-AE151-AF151-AH151</f>
        <v>0</v>
      </c>
      <c r="AN151" s="269">
        <f t="shared" ref="AN151:AN166" si="47">AA151-AB151</f>
        <v>0</v>
      </c>
      <c r="AO151" s="269">
        <f t="shared" si="36"/>
        <v>0</v>
      </c>
      <c r="AP151" s="270">
        <f>(AM151+AL151)*0.3+(AG151+AF151+AE151+AD151)*0.6</f>
        <v>0</v>
      </c>
      <c r="AQ151" s="115">
        <f t="shared" si="37"/>
        <v>6755</v>
      </c>
      <c r="AR151" s="303">
        <f t="shared" si="44"/>
        <v>0</v>
      </c>
      <c r="AS151" s="308"/>
      <c r="AT151" s="302">
        <f>AD151+AE151+AF151+AH151+AM151</f>
        <v>0</v>
      </c>
      <c r="AU151" s="132">
        <f t="shared" si="43"/>
        <v>0</v>
      </c>
      <c r="AV151" s="257"/>
    </row>
    <row r="152" spans="1:48" s="239" customFormat="1" ht="12.75" customHeight="1">
      <c r="B152" s="309" t="s">
        <v>426</v>
      </c>
      <c r="C152" s="242"/>
      <c r="D152" s="242"/>
      <c r="E152" s="398"/>
      <c r="F152" s="398"/>
      <c r="G152" s="399"/>
      <c r="H152" s="399"/>
      <c r="I152" s="399"/>
      <c r="J152" s="399"/>
      <c r="K152" s="398"/>
      <c r="L152" s="400"/>
      <c r="M152" s="263">
        <f>E159</f>
        <v>529</v>
      </c>
      <c r="N152" s="173">
        <f>E159/C159</f>
        <v>105.8</v>
      </c>
      <c r="O152" s="173">
        <f>N152*3</f>
        <v>317.39999999999998</v>
      </c>
      <c r="P152" s="173">
        <f>E159-O152</f>
        <v>211.60000000000002</v>
      </c>
      <c r="Q152" s="264"/>
      <c r="R152" s="264"/>
      <c r="S152" s="264"/>
      <c r="T152" s="264"/>
      <c r="U152" s="265">
        <f>1.0435*L159</f>
        <v>663.7426680320001</v>
      </c>
      <c r="V152" s="266"/>
      <c r="W152" s="264"/>
      <c r="X152" s="264"/>
      <c r="Y152" s="264"/>
      <c r="Z152" s="264"/>
      <c r="AA152" s="115"/>
      <c r="AB152" s="115"/>
      <c r="AC152" s="115"/>
      <c r="AD152" s="115"/>
      <c r="AE152" s="115"/>
      <c r="AF152" s="115"/>
      <c r="AG152" s="115"/>
      <c r="AH152" s="321"/>
      <c r="AI152" s="321"/>
      <c r="AJ152" s="321"/>
      <c r="AK152" s="321"/>
      <c r="AL152" s="321"/>
      <c r="AM152" s="269">
        <f t="shared" si="46"/>
        <v>0</v>
      </c>
      <c r="AN152" s="269">
        <f t="shared" si="47"/>
        <v>0</v>
      </c>
      <c r="AO152" s="269">
        <f t="shared" si="36"/>
        <v>0</v>
      </c>
      <c r="AP152" s="270">
        <f>(AM152+AL152)*0.3+(AG152+AF152+AE152+AD152)*0.6</f>
        <v>0</v>
      </c>
      <c r="AQ152" s="115">
        <f t="shared" si="37"/>
        <v>0</v>
      </c>
      <c r="AR152" s="303">
        <f t="shared" si="44"/>
        <v>0</v>
      </c>
      <c r="AS152" s="322"/>
      <c r="AT152" s="316">
        <f>AD152+AE152+AF152+AH152+AM152</f>
        <v>0</v>
      </c>
      <c r="AU152" s="132">
        <f t="shared" si="43"/>
        <v>0</v>
      </c>
      <c r="AV152" s="257"/>
    </row>
    <row r="153" spans="1:48" s="239" customFormat="1" ht="15" customHeight="1">
      <c r="A153" s="239">
        <v>80</v>
      </c>
      <c r="B153" s="240" t="s">
        <v>427</v>
      </c>
      <c r="C153" s="258">
        <v>5</v>
      </c>
      <c r="D153" s="259">
        <v>4</v>
      </c>
      <c r="E153" s="259">
        <v>302</v>
      </c>
      <c r="F153" s="259">
        <v>2569</v>
      </c>
      <c r="G153" s="261">
        <f>E153*0.300304</f>
        <v>90.691808000000009</v>
      </c>
      <c r="H153" s="261">
        <f>F153*0.124048</f>
        <v>318.67931200000004</v>
      </c>
      <c r="I153" s="259"/>
      <c r="J153" s="259"/>
      <c r="K153" s="259"/>
      <c r="L153" s="262">
        <f>SUM(G153:K153)</f>
        <v>409.37112000000002</v>
      </c>
      <c r="M153" s="263"/>
      <c r="N153" s="264"/>
      <c r="O153" s="173"/>
      <c r="P153" s="173"/>
      <c r="Q153" s="264"/>
      <c r="R153" s="264"/>
      <c r="S153" s="271">
        <f>T153-L160</f>
        <v>33.407012800000018</v>
      </c>
      <c r="T153" s="271">
        <f>L160*1.1</f>
        <v>367.47714080000003</v>
      </c>
      <c r="U153" s="265">
        <v>1573.15</v>
      </c>
      <c r="V153" s="266">
        <f>U153/L160</f>
        <v>4.7090412106526331</v>
      </c>
      <c r="W153" s="264"/>
      <c r="X153" s="264"/>
      <c r="Y153" s="264"/>
      <c r="Z153" s="264"/>
      <c r="AA153" s="115">
        <v>4817</v>
      </c>
      <c r="AB153" s="267">
        <v>832</v>
      </c>
      <c r="AC153" s="267"/>
      <c r="AD153" s="556">
        <v>144</v>
      </c>
      <c r="AE153" s="556">
        <v>84.6</v>
      </c>
      <c r="AF153" s="557">
        <v>231</v>
      </c>
      <c r="AG153" s="557">
        <v>10</v>
      </c>
      <c r="AH153" s="116">
        <f>141+70</f>
        <v>211</v>
      </c>
      <c r="AI153" s="116"/>
      <c r="AJ153" s="116"/>
      <c r="AK153" s="116"/>
      <c r="AL153" s="557"/>
      <c r="AM153" s="116">
        <f t="shared" si="46"/>
        <v>3314.4</v>
      </c>
      <c r="AN153" s="268">
        <f t="shared" si="47"/>
        <v>3985</v>
      </c>
      <c r="AO153" s="269">
        <f t="shared" si="36"/>
        <v>3995</v>
      </c>
      <c r="AP153" s="270">
        <f>(AM153+AL153+AH153)*0.3+(AG153+AF153+AE153+AD153)*0.6</f>
        <v>1339.3799999999999</v>
      </c>
      <c r="AQ153" s="115">
        <f t="shared" si="37"/>
        <v>1229.6200000000001</v>
      </c>
      <c r="AR153" s="303">
        <f t="shared" si="44"/>
        <v>185.58717155999997</v>
      </c>
      <c r="AS153" s="556">
        <f>AM153+AH153</f>
        <v>3525.4</v>
      </c>
      <c r="AT153" s="256">
        <f>AD153+AE153+AF153+AS153+AG153+AL153</f>
        <v>3995</v>
      </c>
      <c r="AU153" s="132">
        <f t="shared" si="43"/>
        <v>1339.3799999999999</v>
      </c>
      <c r="AV153" s="257"/>
    </row>
    <row r="154" spans="1:48" s="239" customFormat="1" ht="15" customHeight="1">
      <c r="A154" s="239">
        <v>54</v>
      </c>
      <c r="B154" s="240" t="s">
        <v>428</v>
      </c>
      <c r="C154" s="258">
        <v>9</v>
      </c>
      <c r="D154" s="259">
        <v>1</v>
      </c>
      <c r="E154" s="259">
        <v>467</v>
      </c>
      <c r="F154" s="259">
        <v>912</v>
      </c>
      <c r="G154" s="261">
        <f>E154*0.300304</f>
        <v>140.24196800000001</v>
      </c>
      <c r="H154" s="261">
        <f>F154*0.124048</f>
        <v>113.131776</v>
      </c>
      <c r="I154" s="261">
        <f>40.2*D154</f>
        <v>40.200000000000003</v>
      </c>
      <c r="J154" s="261">
        <f>1.95*D154</f>
        <v>1.95</v>
      </c>
      <c r="K154" s="259"/>
      <c r="L154" s="262">
        <f>SUM(G154:K154)</f>
        <v>295.52374400000002</v>
      </c>
      <c r="M154" s="263">
        <f>E161</f>
        <v>1111</v>
      </c>
      <c r="N154" s="173" t="e">
        <f>E161/C161</f>
        <v>#DIV/0!</v>
      </c>
      <c r="O154" s="173" t="e">
        <f t="shared" ref="O154:O159" si="48">N154*3</f>
        <v>#DIV/0!</v>
      </c>
      <c r="P154" s="173" t="e">
        <f>E161-O154</f>
        <v>#DIV/0!</v>
      </c>
      <c r="Q154" s="264"/>
      <c r="R154" s="264"/>
      <c r="S154" s="264"/>
      <c r="T154" s="264"/>
      <c r="U154" s="265">
        <f>1.046*L161</f>
        <v>1276.3474589760001</v>
      </c>
      <c r="V154" s="266"/>
      <c r="W154" s="264"/>
      <c r="X154" s="264"/>
      <c r="Y154" s="264"/>
      <c r="Z154" s="264"/>
      <c r="AA154" s="115">
        <v>2000</v>
      </c>
      <c r="AB154" s="267">
        <v>494</v>
      </c>
      <c r="AC154" s="267"/>
      <c r="AD154" s="556">
        <v>104</v>
      </c>
      <c r="AE154" s="556">
        <f>72.5+20</f>
        <v>92.5</v>
      </c>
      <c r="AF154" s="557">
        <f>111+125</f>
        <v>236</v>
      </c>
      <c r="AG154" s="557"/>
      <c r="AH154" s="118">
        <v>54</v>
      </c>
      <c r="AI154" s="118"/>
      <c r="AJ154" s="118"/>
      <c r="AK154" s="118"/>
      <c r="AL154" s="557"/>
      <c r="AM154" s="116">
        <f t="shared" si="46"/>
        <v>1019.5</v>
      </c>
      <c r="AN154" s="268">
        <f t="shared" si="47"/>
        <v>1506</v>
      </c>
      <c r="AO154" s="269">
        <f t="shared" si="36"/>
        <v>1506</v>
      </c>
      <c r="AP154" s="270">
        <f>(AM154+AL154+AH154)*0.3+(AG154+AF154+AE154+AD154)*0.6</f>
        <v>581.54999999999995</v>
      </c>
      <c r="AQ154" s="115">
        <f t="shared" si="37"/>
        <v>330.45000000000005</v>
      </c>
      <c r="AR154" s="303">
        <f t="shared" si="44"/>
        <v>80.580731099999994</v>
      </c>
      <c r="AS154" s="556">
        <f>AM154+AH154</f>
        <v>1073.5</v>
      </c>
      <c r="AT154" s="256">
        <f>AD154+AE154+AF154+AS154+AG154+AL154</f>
        <v>1506</v>
      </c>
      <c r="AU154" s="132">
        <f t="shared" si="43"/>
        <v>581.54999999999995</v>
      </c>
      <c r="AV154" s="257"/>
    </row>
    <row r="155" spans="1:48" s="239" customFormat="1" ht="15" customHeight="1">
      <c r="A155" s="239">
        <v>92</v>
      </c>
      <c r="B155" s="240" t="s">
        <v>429</v>
      </c>
      <c r="C155" s="258">
        <v>5</v>
      </c>
      <c r="D155" s="259">
        <v>6</v>
      </c>
      <c r="E155" s="259">
        <v>516</v>
      </c>
      <c r="F155" s="259">
        <v>2600</v>
      </c>
      <c r="G155" s="261">
        <f>E155*0.300304</f>
        <v>154.956864</v>
      </c>
      <c r="H155" s="261">
        <f>F155*0.124048</f>
        <v>322.52480000000003</v>
      </c>
      <c r="I155" s="259"/>
      <c r="J155" s="259"/>
      <c r="K155" s="259"/>
      <c r="L155" s="262">
        <f>SUM(G155:K155)</f>
        <v>477.48166400000002</v>
      </c>
      <c r="M155" s="263">
        <f>E162</f>
        <v>0</v>
      </c>
      <c r="N155" s="173" t="e">
        <f>E162/C162</f>
        <v>#DIV/0!</v>
      </c>
      <c r="O155" s="173" t="e">
        <f t="shared" si="48"/>
        <v>#DIV/0!</v>
      </c>
      <c r="P155" s="173" t="e">
        <f>E162-O155</f>
        <v>#DIV/0!</v>
      </c>
      <c r="Q155" s="264"/>
      <c r="R155" s="264"/>
      <c r="S155" s="264"/>
      <c r="T155" s="264"/>
      <c r="U155" s="265">
        <f>1.055*L162</f>
        <v>0</v>
      </c>
      <c r="V155" s="266"/>
      <c r="W155" s="264"/>
      <c r="X155" s="264"/>
      <c r="Y155" s="264"/>
      <c r="Z155" s="264"/>
      <c r="AA155" s="117">
        <v>4400</v>
      </c>
      <c r="AB155" s="340">
        <v>1152</v>
      </c>
      <c r="AC155" s="340"/>
      <c r="AD155" s="556">
        <v>120</v>
      </c>
      <c r="AE155" s="556">
        <f>84</f>
        <v>84</v>
      </c>
      <c r="AF155" s="557">
        <f>360</f>
        <v>360</v>
      </c>
      <c r="AG155" s="557">
        <v>106</v>
      </c>
      <c r="AH155" s="116">
        <f>81+281.3</f>
        <v>362.3</v>
      </c>
      <c r="AI155" s="116"/>
      <c r="AJ155" s="116"/>
      <c r="AK155" s="116"/>
      <c r="AL155" s="557"/>
      <c r="AM155" s="116">
        <f t="shared" si="46"/>
        <v>2321.6999999999998</v>
      </c>
      <c r="AN155" s="268">
        <f t="shared" si="47"/>
        <v>3248</v>
      </c>
      <c r="AO155" s="269">
        <f t="shared" si="36"/>
        <v>3354</v>
      </c>
      <c r="AP155" s="270">
        <f>(AM155+AL155+AH155)*0.3+(AG155+AF155+AE155+AD155)*0.6</f>
        <v>1207.1999999999998</v>
      </c>
      <c r="AQ155" s="115">
        <f t="shared" si="37"/>
        <v>1392.8000000000002</v>
      </c>
      <c r="AR155" s="303">
        <f t="shared" si="44"/>
        <v>167.27204639999997</v>
      </c>
      <c r="AS155" s="556">
        <f>AM155+AH155</f>
        <v>2684</v>
      </c>
      <c r="AT155" s="256">
        <f>AD155+AE155+AF155+AS155+AG155+AL155</f>
        <v>3354</v>
      </c>
      <c r="AU155" s="132">
        <f t="shared" si="43"/>
        <v>1207.1999999999998</v>
      </c>
      <c r="AV155" s="257"/>
    </row>
    <row r="156" spans="1:48" s="239" customFormat="1" thickBot="1">
      <c r="B156" s="275" t="s">
        <v>320</v>
      </c>
      <c r="C156" s="276"/>
      <c r="D156" s="276"/>
      <c r="E156" s="327">
        <f t="shared" ref="E156:L156" si="49">SUM(E153:E155)</f>
        <v>1285</v>
      </c>
      <c r="F156" s="327">
        <f t="shared" si="49"/>
        <v>6081</v>
      </c>
      <c r="G156" s="397">
        <f t="shared" si="49"/>
        <v>385.89064000000002</v>
      </c>
      <c r="H156" s="397">
        <f t="shared" si="49"/>
        <v>754.33588800000007</v>
      </c>
      <c r="I156" s="397">
        <f t="shared" si="49"/>
        <v>40.200000000000003</v>
      </c>
      <c r="J156" s="397">
        <f t="shared" si="49"/>
        <v>1.95</v>
      </c>
      <c r="K156" s="327">
        <f t="shared" si="49"/>
        <v>0</v>
      </c>
      <c r="L156" s="328">
        <f t="shared" si="49"/>
        <v>1182.3765280000002</v>
      </c>
      <c r="M156" s="263">
        <f>E163</f>
        <v>456</v>
      </c>
      <c r="N156" s="173">
        <f>E163/C163</f>
        <v>91.2</v>
      </c>
      <c r="O156" s="173">
        <f t="shared" si="48"/>
        <v>273.60000000000002</v>
      </c>
      <c r="P156" s="173">
        <f>E163-O156</f>
        <v>182.39999999999998</v>
      </c>
      <c r="Q156" s="264"/>
      <c r="R156" s="264"/>
      <c r="S156" s="264"/>
      <c r="T156" s="264"/>
      <c r="U156" s="265">
        <f>1.785*L163</f>
        <v>815.71369823999999</v>
      </c>
      <c r="V156" s="266"/>
      <c r="W156" s="264"/>
      <c r="X156" s="264"/>
      <c r="Y156" s="264"/>
      <c r="Z156" s="264"/>
      <c r="AA156" s="115"/>
      <c r="AB156" s="115"/>
      <c r="AC156" s="385"/>
      <c r="AD156" s="385"/>
      <c r="AE156" s="385"/>
      <c r="AF156" s="385"/>
      <c r="AG156" s="385"/>
      <c r="AH156" s="307"/>
      <c r="AI156" s="307"/>
      <c r="AJ156" s="307"/>
      <c r="AK156" s="307"/>
      <c r="AL156" s="307"/>
      <c r="AM156" s="300">
        <f t="shared" si="46"/>
        <v>0</v>
      </c>
      <c r="AN156" s="269">
        <f t="shared" si="47"/>
        <v>0</v>
      </c>
      <c r="AO156" s="269">
        <f t="shared" si="36"/>
        <v>0</v>
      </c>
      <c r="AP156" s="270">
        <f>(AM156+AL156)*0.3+(AG156+AF156+AE156+AD156)*0.6</f>
        <v>0</v>
      </c>
      <c r="AQ156" s="115">
        <f t="shared" si="37"/>
        <v>6081</v>
      </c>
      <c r="AR156" s="303">
        <f t="shared" si="44"/>
        <v>0</v>
      </c>
      <c r="AS156" s="308"/>
      <c r="AT156" s="302">
        <f>AD156+AE156+AF156+AH156+AM156</f>
        <v>0</v>
      </c>
      <c r="AU156" s="132">
        <f t="shared" si="43"/>
        <v>0</v>
      </c>
      <c r="AV156" s="257"/>
    </row>
    <row r="157" spans="1:48" s="239" customFormat="1" ht="10.5" customHeight="1">
      <c r="B157" s="309" t="s">
        <v>430</v>
      </c>
      <c r="C157" s="319"/>
      <c r="D157" s="319"/>
      <c r="E157" s="398"/>
      <c r="F157" s="398"/>
      <c r="G157" s="399"/>
      <c r="H157" s="399"/>
      <c r="I157" s="399"/>
      <c r="J157" s="399"/>
      <c r="K157" s="398"/>
      <c r="L157" s="400"/>
      <c r="M157" s="263">
        <f>E164</f>
        <v>505</v>
      </c>
      <c r="N157" s="173">
        <f>E164/C164</f>
        <v>56.111111111111114</v>
      </c>
      <c r="O157" s="173">
        <f t="shared" si="48"/>
        <v>168.33333333333334</v>
      </c>
      <c r="P157" s="173">
        <f>E164-O157</f>
        <v>336.66666666666663</v>
      </c>
      <c r="Q157" s="264"/>
      <c r="R157" s="264"/>
      <c r="S157" s="264"/>
      <c r="T157" s="264"/>
      <c r="U157" s="265">
        <f>1.785*L164</f>
        <v>638.17419960000007</v>
      </c>
      <c r="V157" s="266"/>
      <c r="W157" s="264"/>
      <c r="X157" s="264"/>
      <c r="Y157" s="264"/>
      <c r="Z157" s="264"/>
      <c r="AA157" s="115"/>
      <c r="AB157" s="115"/>
      <c r="AC157" s="115"/>
      <c r="AD157" s="115"/>
      <c r="AE157" s="115"/>
      <c r="AF157" s="115"/>
      <c r="AG157" s="115"/>
      <c r="AH157" s="321"/>
      <c r="AI157" s="321"/>
      <c r="AJ157" s="321"/>
      <c r="AK157" s="321"/>
      <c r="AL157" s="321"/>
      <c r="AM157" s="269">
        <f t="shared" si="46"/>
        <v>0</v>
      </c>
      <c r="AN157" s="269">
        <f t="shared" si="47"/>
        <v>0</v>
      </c>
      <c r="AO157" s="269">
        <f t="shared" si="36"/>
        <v>0</v>
      </c>
      <c r="AP157" s="270">
        <f>(AM157+AL157)*0.3+(AG157+AF157+AE157+AD157)*0.6</f>
        <v>0</v>
      </c>
      <c r="AQ157" s="115">
        <f t="shared" si="37"/>
        <v>0</v>
      </c>
      <c r="AR157" s="303">
        <f t="shared" si="44"/>
        <v>0</v>
      </c>
      <c r="AS157" s="322"/>
      <c r="AT157" s="316">
        <f>AD157+AE157+AF157+AH157+AM157</f>
        <v>0</v>
      </c>
      <c r="AU157" s="132">
        <f t="shared" si="43"/>
        <v>0</v>
      </c>
      <c r="AV157" s="257"/>
    </row>
    <row r="158" spans="1:48" s="239" customFormat="1" ht="15" customHeight="1">
      <c r="A158" s="239">
        <v>80</v>
      </c>
      <c r="B158" s="240" t="s">
        <v>431</v>
      </c>
      <c r="C158" s="258">
        <v>5</v>
      </c>
      <c r="D158" s="259">
        <v>4</v>
      </c>
      <c r="E158" s="259">
        <v>304</v>
      </c>
      <c r="F158" s="259">
        <v>1280</v>
      </c>
      <c r="G158" s="261">
        <f>E158*0.300304</f>
        <v>91.292416000000003</v>
      </c>
      <c r="H158" s="261">
        <f>F158*0.124048</f>
        <v>158.78144</v>
      </c>
      <c r="I158" s="259"/>
      <c r="J158" s="259"/>
      <c r="K158" s="259"/>
      <c r="L158" s="262">
        <f>SUM(G158:K158)</f>
        <v>250.07385600000001</v>
      </c>
      <c r="M158" s="263"/>
      <c r="N158" s="264"/>
      <c r="O158" s="173">
        <f t="shared" si="48"/>
        <v>0</v>
      </c>
      <c r="P158" s="173"/>
      <c r="Q158" s="264"/>
      <c r="R158" s="264"/>
      <c r="S158" s="271">
        <f>T158-L165</f>
        <v>113.15714240000011</v>
      </c>
      <c r="T158" s="271">
        <f>L165*1.1</f>
        <v>1244.7285664000001</v>
      </c>
      <c r="U158" s="265">
        <v>1330.09</v>
      </c>
      <c r="V158" s="266">
        <f>U158/L165</f>
        <v>1.1754361870488521</v>
      </c>
      <c r="W158" s="264"/>
      <c r="X158" s="264"/>
      <c r="Y158" s="264"/>
      <c r="Z158" s="264"/>
      <c r="AA158" s="117">
        <v>2005.57</v>
      </c>
      <c r="AB158" s="340">
        <v>806</v>
      </c>
      <c r="AC158" s="340"/>
      <c r="AD158" s="556">
        <v>148</v>
      </c>
      <c r="AE158" s="556">
        <v>56</v>
      </c>
      <c r="AF158" s="557">
        <v>216</v>
      </c>
      <c r="AG158" s="557"/>
      <c r="AH158" s="116">
        <f>64+33</f>
        <v>97</v>
      </c>
      <c r="AI158" s="116"/>
      <c r="AJ158" s="116"/>
      <c r="AK158" s="116"/>
      <c r="AL158" s="557">
        <f>71*27</f>
        <v>1917</v>
      </c>
      <c r="AM158" s="116">
        <f t="shared" si="46"/>
        <v>682.56999999999994</v>
      </c>
      <c r="AN158" s="268">
        <f t="shared" si="47"/>
        <v>1199.57</v>
      </c>
      <c r="AO158" s="269">
        <f t="shared" si="36"/>
        <v>3116.5699999999997</v>
      </c>
      <c r="AP158" s="270">
        <f>(AM158+AL158+AH158)*0.3+(AG158+AF158+AE158+AD158)*0.6</f>
        <v>1060.971</v>
      </c>
      <c r="AQ158" s="115">
        <f t="shared" si="37"/>
        <v>219.029</v>
      </c>
      <c r="AR158" s="303">
        <f t="shared" si="44"/>
        <v>147.010263702</v>
      </c>
      <c r="AS158" s="556">
        <f>AM158+AH158</f>
        <v>779.56999999999994</v>
      </c>
      <c r="AT158" s="256">
        <f>AD158+AE158+AF158+AS158+AG158+AL158</f>
        <v>3116.5699999999997</v>
      </c>
      <c r="AU158" s="132">
        <f t="shared" si="43"/>
        <v>1060.971</v>
      </c>
      <c r="AV158" s="257"/>
    </row>
    <row r="159" spans="1:48" s="239" customFormat="1" ht="15" customHeight="1">
      <c r="A159" s="239">
        <v>129</v>
      </c>
      <c r="B159" s="240" t="s">
        <v>432</v>
      </c>
      <c r="C159" s="258">
        <v>5</v>
      </c>
      <c r="D159" s="260">
        <v>8</v>
      </c>
      <c r="E159" s="260">
        <v>529</v>
      </c>
      <c r="F159" s="260">
        <v>3847</v>
      </c>
      <c r="G159" s="261">
        <f>E159*0.300304</f>
        <v>158.860816</v>
      </c>
      <c r="H159" s="261">
        <f>F159*0.124048</f>
        <v>477.21265600000004</v>
      </c>
      <c r="I159" s="259"/>
      <c r="J159" s="259"/>
      <c r="K159" s="259"/>
      <c r="L159" s="262">
        <f>SUM(G159:K159)</f>
        <v>636.07347200000004</v>
      </c>
      <c r="M159" s="263">
        <f>E164</f>
        <v>505</v>
      </c>
      <c r="N159" s="173">
        <f>E164/C164</f>
        <v>56.111111111111114</v>
      </c>
      <c r="O159" s="173">
        <f t="shared" si="48"/>
        <v>168.33333333333334</v>
      </c>
      <c r="P159" s="173">
        <f>E164-O159</f>
        <v>336.66666666666663</v>
      </c>
      <c r="Q159" s="264"/>
      <c r="R159" s="264"/>
      <c r="S159" s="264"/>
      <c r="T159" s="264"/>
      <c r="U159" s="265">
        <f>1.0495*L164</f>
        <v>375.21782772000006</v>
      </c>
      <c r="V159" s="266"/>
      <c r="W159" s="264"/>
      <c r="X159" s="264"/>
      <c r="Y159" s="264"/>
      <c r="Z159" s="264"/>
      <c r="AA159" s="115">
        <v>8102.25</v>
      </c>
      <c r="AB159" s="267">
        <v>1690</v>
      </c>
      <c r="AC159" s="267"/>
      <c r="AD159" s="556">
        <v>282</v>
      </c>
      <c r="AE159" s="556">
        <f>9.5*3*8</f>
        <v>228</v>
      </c>
      <c r="AF159" s="557">
        <f>5*135</f>
        <v>675</v>
      </c>
      <c r="AG159" s="557"/>
      <c r="AH159" s="118">
        <f>14.2*8.5*7</f>
        <v>844.89999999999986</v>
      </c>
      <c r="AI159" s="118"/>
      <c r="AJ159" s="118"/>
      <c r="AK159" s="118"/>
      <c r="AL159" s="557"/>
      <c r="AM159" s="116">
        <f t="shared" si="46"/>
        <v>4382.3500000000004</v>
      </c>
      <c r="AN159" s="268">
        <f t="shared" si="47"/>
        <v>6412.25</v>
      </c>
      <c r="AO159" s="269">
        <f t="shared" ref="AO159:AO166" si="50">AD159+AE159+AF159+AG159+AH159+AL159+AM159</f>
        <v>6412.25</v>
      </c>
      <c r="AP159" s="270">
        <f>(AM159+AL159)*0.3+(AG159+AF159+AE159+AD159)*0.6</f>
        <v>2025.7050000000002</v>
      </c>
      <c r="AQ159" s="115">
        <f t="shared" si="37"/>
        <v>1821.2949999999998</v>
      </c>
      <c r="AR159" s="303">
        <f t="shared" si="44"/>
        <v>280.68573621000002</v>
      </c>
      <c r="AS159" s="556">
        <f>AM159+AH159</f>
        <v>5227.25</v>
      </c>
      <c r="AT159" s="256">
        <f>AD159+AE159+AF159+AS159+AG159+AL159</f>
        <v>6412.25</v>
      </c>
      <c r="AU159" s="132">
        <f t="shared" si="43"/>
        <v>2279.1750000000002</v>
      </c>
      <c r="AV159" s="257"/>
    </row>
    <row r="160" spans="1:48" s="239" customFormat="1" ht="15" customHeight="1">
      <c r="A160" s="135"/>
      <c r="B160" s="240" t="s">
        <v>433</v>
      </c>
      <c r="C160" s="258" t="s">
        <v>56</v>
      </c>
      <c r="D160" s="419">
        <v>4</v>
      </c>
      <c r="E160" s="260">
        <v>278</v>
      </c>
      <c r="F160" s="260">
        <v>1617</v>
      </c>
      <c r="G160" s="261">
        <f>E160*0.300304</f>
        <v>83.484512000000009</v>
      </c>
      <c r="H160" s="261">
        <f>F160*0.124048</f>
        <v>200.58561600000002</v>
      </c>
      <c r="I160" s="259"/>
      <c r="J160" s="259"/>
      <c r="K160" s="259">
        <f>2*25</f>
        <v>50</v>
      </c>
      <c r="L160" s="262">
        <f>G160+H160+I160+J160+K160</f>
        <v>334.07012800000001</v>
      </c>
      <c r="M160" s="263"/>
      <c r="N160" s="172"/>
      <c r="O160" s="173"/>
      <c r="P160" s="173"/>
      <c r="Q160" s="271"/>
      <c r="R160" s="271"/>
      <c r="S160" s="271"/>
      <c r="T160" s="271"/>
      <c r="U160" s="265"/>
      <c r="V160" s="266"/>
      <c r="W160" s="271"/>
      <c r="X160" s="271"/>
      <c r="Y160" s="271"/>
      <c r="Z160" s="271"/>
      <c r="AA160" s="413">
        <v>3128.2</v>
      </c>
      <c r="AB160" s="414">
        <v>672</v>
      </c>
      <c r="AC160" s="414"/>
      <c r="AD160" s="556">
        <f>68*2</f>
        <v>136</v>
      </c>
      <c r="AE160" s="556">
        <f>4*4*4</f>
        <v>64</v>
      </c>
      <c r="AF160" s="557">
        <f>3*62+11.5*7</f>
        <v>266.5</v>
      </c>
      <c r="AG160" s="557"/>
      <c r="AH160" s="118">
        <f>2*11+11*4*3</f>
        <v>154</v>
      </c>
      <c r="AI160" s="118"/>
      <c r="AJ160" s="118"/>
      <c r="AK160" s="118"/>
      <c r="AL160" s="557">
        <f>30*3</f>
        <v>90</v>
      </c>
      <c r="AM160" s="116">
        <f t="shared" si="46"/>
        <v>1835.6999999999998</v>
      </c>
      <c r="AN160" s="268">
        <f t="shared" si="47"/>
        <v>2456.1999999999998</v>
      </c>
      <c r="AO160" s="269">
        <f t="shared" si="50"/>
        <v>2546.1999999999998</v>
      </c>
      <c r="AP160" s="270">
        <f>(AM160+AL160+AH160)*0.3+(AG160+AF160+AE160+AD160)*0.6</f>
        <v>903.81</v>
      </c>
      <c r="AQ160" s="115">
        <f t="shared" si="37"/>
        <v>713.19</v>
      </c>
      <c r="AR160" s="303">
        <f t="shared" si="44"/>
        <v>125.23372121999998</v>
      </c>
      <c r="AS160" s="556">
        <f>AM160+AH160</f>
        <v>1989.6999999999998</v>
      </c>
      <c r="AT160" s="256">
        <f>AD160+AE160+AF160+AS160+AG160+AL160</f>
        <v>2546.1999999999998</v>
      </c>
      <c r="AU160" s="132">
        <f t="shared" si="43"/>
        <v>903.81</v>
      </c>
      <c r="AV160" s="257"/>
    </row>
    <row r="161" spans="1:48" s="239" customFormat="1" thickBot="1">
      <c r="B161" s="275" t="s">
        <v>320</v>
      </c>
      <c r="C161" s="276"/>
      <c r="D161" s="276"/>
      <c r="E161" s="327">
        <f>SUM(E158:E160)</f>
        <v>1111</v>
      </c>
      <c r="F161" s="327">
        <f>SUM(F158:F160)</f>
        <v>6744</v>
      </c>
      <c r="G161" s="397">
        <f>SUM(G158:G160)</f>
        <v>333.637744</v>
      </c>
      <c r="H161" s="397">
        <f>SUM(H158:H160)</f>
        <v>836.57971199999997</v>
      </c>
      <c r="I161" s="397"/>
      <c r="J161" s="397"/>
      <c r="K161" s="327">
        <f>SUM(K158:K160)</f>
        <v>50</v>
      </c>
      <c r="L161" s="328">
        <f>SUM(L158:L160)</f>
        <v>1220.2174560000001</v>
      </c>
      <c r="M161" s="263">
        <f>E168</f>
        <v>1375</v>
      </c>
      <c r="N161" s="173">
        <f>E168/C168</f>
        <v>152.77777777777777</v>
      </c>
      <c r="O161" s="173">
        <f>N161*3</f>
        <v>458.33333333333331</v>
      </c>
      <c r="P161" s="173">
        <f>E168-O161</f>
        <v>916.66666666666674</v>
      </c>
      <c r="Q161" s="264"/>
      <c r="R161" s="264"/>
      <c r="S161" s="264"/>
      <c r="T161" s="264"/>
      <c r="U161" s="265">
        <f>L168*1.472</f>
        <v>1538.5095290879999</v>
      </c>
      <c r="V161" s="266"/>
      <c r="W161" s="264"/>
      <c r="X161" s="264"/>
      <c r="Y161" s="264"/>
      <c r="Z161" s="264"/>
      <c r="AA161" s="115"/>
      <c r="AB161" s="115"/>
      <c r="AC161" s="385"/>
      <c r="AD161" s="385"/>
      <c r="AE161" s="385"/>
      <c r="AF161" s="382"/>
      <c r="AG161" s="382"/>
      <c r="AH161" s="300"/>
      <c r="AI161" s="300"/>
      <c r="AJ161" s="300"/>
      <c r="AK161" s="300"/>
      <c r="AL161" s="300"/>
      <c r="AM161" s="300">
        <f t="shared" si="46"/>
        <v>0</v>
      </c>
      <c r="AN161" s="269">
        <f t="shared" si="47"/>
        <v>0</v>
      </c>
      <c r="AO161" s="269">
        <f t="shared" si="50"/>
        <v>0</v>
      </c>
      <c r="AP161" s="270">
        <f>(AM161+AL161)*0.3+(AG161+AF161+AE161+AD161)*0.6</f>
        <v>0</v>
      </c>
      <c r="AQ161" s="115">
        <f t="shared" si="37"/>
        <v>6744</v>
      </c>
      <c r="AR161" s="303">
        <f t="shared" si="44"/>
        <v>0</v>
      </c>
      <c r="AS161" s="308"/>
      <c r="AT161" s="302">
        <f>AD161+AE161+AF161+AH161+AM161</f>
        <v>0</v>
      </c>
      <c r="AU161" s="132">
        <f t="shared" si="43"/>
        <v>0</v>
      </c>
      <c r="AV161" s="257"/>
    </row>
    <row r="162" spans="1:48" s="239" customFormat="1" ht="9.75" customHeight="1">
      <c r="B162" s="309" t="s">
        <v>434</v>
      </c>
      <c r="C162" s="319"/>
      <c r="D162" s="319"/>
      <c r="E162" s="398"/>
      <c r="F162" s="398"/>
      <c r="G162" s="399"/>
      <c r="H162" s="399"/>
      <c r="I162" s="399"/>
      <c r="J162" s="399"/>
      <c r="K162" s="398"/>
      <c r="L162" s="400"/>
      <c r="M162" s="263">
        <f>E169</f>
        <v>1100</v>
      </c>
      <c r="N162" s="173">
        <f>E169/C169</f>
        <v>122.22222222222223</v>
      </c>
      <c r="O162" s="173">
        <f>N162*3</f>
        <v>366.66666666666669</v>
      </c>
      <c r="P162" s="173">
        <f>E169-O162</f>
        <v>733.33333333333326</v>
      </c>
      <c r="Q162" s="264"/>
      <c r="R162" s="264"/>
      <c r="S162" s="264"/>
      <c r="T162" s="264"/>
      <c r="U162" s="265">
        <f>L169*1.472</f>
        <v>1230.917182464</v>
      </c>
      <c r="V162" s="266"/>
      <c r="W162" s="264"/>
      <c r="X162" s="264"/>
      <c r="Y162" s="264"/>
      <c r="Z162" s="264"/>
      <c r="AA162" s="115"/>
      <c r="AB162" s="115"/>
      <c r="AC162" s="115"/>
      <c r="AD162" s="115"/>
      <c r="AE162" s="115"/>
      <c r="AF162" s="117"/>
      <c r="AG162" s="117"/>
      <c r="AH162" s="269"/>
      <c r="AI162" s="269"/>
      <c r="AJ162" s="269"/>
      <c r="AK162" s="269"/>
      <c r="AL162" s="269"/>
      <c r="AM162" s="269">
        <f t="shared" si="46"/>
        <v>0</v>
      </c>
      <c r="AN162" s="269">
        <f t="shared" si="47"/>
        <v>0</v>
      </c>
      <c r="AO162" s="269">
        <f t="shared" si="50"/>
        <v>0</v>
      </c>
      <c r="AP162" s="270">
        <f>(AM162+AL162)*0.3+(AG162+AF162+AE162+AD162)*0.6</f>
        <v>0</v>
      </c>
      <c r="AQ162" s="115">
        <f t="shared" si="37"/>
        <v>0</v>
      </c>
      <c r="AR162" s="303">
        <f t="shared" si="44"/>
        <v>0</v>
      </c>
      <c r="AS162" s="322"/>
      <c r="AT162" s="316">
        <f>AD162+AE162+AF162+AH162+AM162</f>
        <v>0</v>
      </c>
      <c r="AU162" s="132">
        <f t="shared" si="43"/>
        <v>0</v>
      </c>
      <c r="AV162" s="257"/>
    </row>
    <row r="163" spans="1:48" s="239" customFormat="1" ht="15" customHeight="1">
      <c r="A163" s="239">
        <v>96</v>
      </c>
      <c r="B163" s="240" t="s">
        <v>435</v>
      </c>
      <c r="C163" s="258">
        <v>5</v>
      </c>
      <c r="D163" s="259">
        <v>6</v>
      </c>
      <c r="E163" s="259">
        <v>456</v>
      </c>
      <c r="F163" s="259">
        <v>2580</v>
      </c>
      <c r="G163" s="261">
        <f>E163*0.300304</f>
        <v>136.938624</v>
      </c>
      <c r="H163" s="261">
        <f>F163*0.124048</f>
        <v>320.04383999999999</v>
      </c>
      <c r="I163" s="259"/>
      <c r="J163" s="259"/>
      <c r="K163" s="259"/>
      <c r="L163" s="262">
        <f>SUM(G163:K163)</f>
        <v>456.98246399999999</v>
      </c>
      <c r="M163" s="263">
        <f>E170</f>
        <v>2475</v>
      </c>
      <c r="N163" s="264"/>
      <c r="O163" s="173">
        <f>N163*3</f>
        <v>0</v>
      </c>
      <c r="P163" s="173">
        <f>E170-O163</f>
        <v>2475</v>
      </c>
      <c r="Q163" s="264"/>
      <c r="R163" s="264"/>
      <c r="S163" s="264"/>
      <c r="T163" s="264"/>
      <c r="U163" s="265"/>
      <c r="V163" s="266"/>
      <c r="W163" s="264"/>
      <c r="X163" s="264"/>
      <c r="Y163" s="264"/>
      <c r="Z163" s="264"/>
      <c r="AA163" s="117">
        <v>3683.62</v>
      </c>
      <c r="AB163" s="340">
        <v>1176</v>
      </c>
      <c r="AC163" s="340"/>
      <c r="AD163" s="556">
        <f>110*0.5</f>
        <v>55</v>
      </c>
      <c r="AE163" s="556">
        <f>4*4.2+3*7</f>
        <v>37.799999999999997</v>
      </c>
      <c r="AF163" s="557">
        <f>4.5*21.5+8*11+19*3+8.5*6+3.2*27+2.2*98.1</f>
        <v>594.97</v>
      </c>
      <c r="AG163" s="557">
        <f>2.6*6*6+7*98.1</f>
        <v>780.3</v>
      </c>
      <c r="AH163" s="116">
        <f>8*4.2+10*4.2+4*4.2+12.4*4.2*5</f>
        <v>352.8</v>
      </c>
      <c r="AI163" s="116"/>
      <c r="AJ163" s="116"/>
      <c r="AK163" s="116"/>
      <c r="AL163" s="557">
        <f>7*98.1</f>
        <v>686.69999999999993</v>
      </c>
      <c r="AM163" s="116">
        <f t="shared" si="46"/>
        <v>1467.0499999999997</v>
      </c>
      <c r="AN163" s="268">
        <f t="shared" si="47"/>
        <v>2507.62</v>
      </c>
      <c r="AO163" s="269">
        <f t="shared" si="50"/>
        <v>3974.6199999999994</v>
      </c>
      <c r="AP163" s="270">
        <f>(AM163+AL163+AH163)*0.3+(AG163+AF163+AE163+AD163)*0.6</f>
        <v>1632.8069999999998</v>
      </c>
      <c r="AQ163" s="115">
        <f t="shared" si="37"/>
        <v>947.19300000000021</v>
      </c>
      <c r="AR163" s="303">
        <f t="shared" si="44"/>
        <v>226.24500353399995</v>
      </c>
      <c r="AS163" s="556">
        <f>AM163+AH163</f>
        <v>1819.8499999999997</v>
      </c>
      <c r="AT163" s="256">
        <f>AD163+AE163+AF163+AS163+AG163+AL163</f>
        <v>3974.62</v>
      </c>
      <c r="AU163" s="132">
        <f t="shared" si="43"/>
        <v>1632.8069999999998</v>
      </c>
      <c r="AV163" s="257"/>
    </row>
    <row r="164" spans="1:48" s="239" customFormat="1" ht="15" customHeight="1">
      <c r="A164" s="239">
        <v>64</v>
      </c>
      <c r="B164" s="240" t="s">
        <v>436</v>
      </c>
      <c r="C164" s="272">
        <v>9</v>
      </c>
      <c r="D164" s="260">
        <v>2</v>
      </c>
      <c r="E164" s="260">
        <v>505</v>
      </c>
      <c r="F164" s="260">
        <v>980</v>
      </c>
      <c r="G164" s="261">
        <f>E164*0.300304</f>
        <v>151.65352000000001</v>
      </c>
      <c r="H164" s="261">
        <f>F164*0.124048</f>
        <v>121.56704000000001</v>
      </c>
      <c r="I164" s="261">
        <f>40.2*D164</f>
        <v>80.400000000000006</v>
      </c>
      <c r="J164" s="261">
        <f>1.95*D164</f>
        <v>3.9</v>
      </c>
      <c r="K164" s="259"/>
      <c r="L164" s="262">
        <f>SUM(G164:K164)</f>
        <v>357.52056000000005</v>
      </c>
      <c r="M164" s="263"/>
      <c r="N164" s="264"/>
      <c r="O164" s="173"/>
      <c r="P164" s="173"/>
      <c r="Q164" s="264"/>
      <c r="R164" s="264"/>
      <c r="S164" s="271">
        <f>T164-L170</f>
        <v>188.14040160000013</v>
      </c>
      <c r="T164" s="271">
        <f>L170*1.1</f>
        <v>2069.5444176000001</v>
      </c>
      <c r="U164" s="265">
        <v>1321.02</v>
      </c>
      <c r="V164" s="266">
        <f>U164/L170</f>
        <v>0.70214583830249466</v>
      </c>
      <c r="W164" s="264"/>
      <c r="X164" s="264"/>
      <c r="Y164" s="264"/>
      <c r="Z164" s="264"/>
      <c r="AA164" s="115">
        <v>1042</v>
      </c>
      <c r="AB164" s="267">
        <v>309</v>
      </c>
      <c r="AC164" s="267"/>
      <c r="AD164" s="556">
        <v>46</v>
      </c>
      <c r="AE164" s="556">
        <v>6</v>
      </c>
      <c r="AF164" s="566">
        <f>AA164-AB164-AD164-AE164-AM164</f>
        <v>527</v>
      </c>
      <c r="AG164" s="557"/>
      <c r="AH164" s="118"/>
      <c r="AI164" s="118"/>
      <c r="AJ164" s="118"/>
      <c r="AK164" s="118"/>
      <c r="AL164" s="557"/>
      <c r="AM164" s="116">
        <f>14*11</f>
        <v>154</v>
      </c>
      <c r="AN164" s="268">
        <f t="shared" si="47"/>
        <v>733</v>
      </c>
      <c r="AO164" s="269">
        <f t="shared" si="50"/>
        <v>733</v>
      </c>
      <c r="AP164" s="270">
        <f>(AM164+AL164)*0.3+(AG164+AF164+AE164+AD164)*0.6</f>
        <v>393.59999999999997</v>
      </c>
      <c r="AQ164" s="115">
        <f>F164-AP164</f>
        <v>586.40000000000009</v>
      </c>
      <c r="AR164" s="303">
        <f t="shared" si="44"/>
        <v>54.538003199999991</v>
      </c>
      <c r="AS164" s="556">
        <f>AM164+AH164</f>
        <v>154</v>
      </c>
      <c r="AT164" s="256">
        <f>AD164+AE164+AF164+AS164+AG164+AL164</f>
        <v>733</v>
      </c>
      <c r="AU164" s="132">
        <f t="shared" si="43"/>
        <v>393.59999999999997</v>
      </c>
      <c r="AV164" s="257"/>
    </row>
    <row r="165" spans="1:48" s="239" customFormat="1" ht="15" customHeight="1">
      <c r="A165" s="239">
        <v>179</v>
      </c>
      <c r="B165" s="240" t="s">
        <v>437</v>
      </c>
      <c r="C165" s="258">
        <v>9</v>
      </c>
      <c r="D165" s="259">
        <v>5</v>
      </c>
      <c r="E165" s="259">
        <v>1433</v>
      </c>
      <c r="F165" s="261" t="s">
        <v>438</v>
      </c>
      <c r="G165" s="261">
        <f>E165*0.300304</f>
        <v>430.33563200000003</v>
      </c>
      <c r="H165" s="261">
        <f>F165*0.124048</f>
        <v>490.485792</v>
      </c>
      <c r="I165" s="261">
        <f>40.2*D165</f>
        <v>201</v>
      </c>
      <c r="J165" s="261">
        <f>1.95*D165</f>
        <v>9.75</v>
      </c>
      <c r="K165" s="259"/>
      <c r="L165" s="384">
        <f>SUM(G165:K165)</f>
        <v>1131.571424</v>
      </c>
      <c r="M165" s="263">
        <f>E172</f>
        <v>451</v>
      </c>
      <c r="N165" s="264"/>
      <c r="O165" s="173"/>
      <c r="P165" s="173"/>
      <c r="Q165" s="264"/>
      <c r="R165" s="264"/>
      <c r="S165" s="264"/>
      <c r="T165" s="264"/>
      <c r="U165" s="265"/>
      <c r="V165" s="266"/>
      <c r="W165" s="264"/>
      <c r="X165" s="264"/>
      <c r="Y165" s="264"/>
      <c r="Z165" s="264"/>
      <c r="AA165" s="115">
        <v>7578.14</v>
      </c>
      <c r="AB165" s="267">
        <v>1383</v>
      </c>
      <c r="AC165" s="267"/>
      <c r="AD165" s="556">
        <v>297</v>
      </c>
      <c r="AE165" s="556">
        <f>4.5*5+9*6+5*4+5*7+7*8</f>
        <v>187.5</v>
      </c>
      <c r="AF165" s="557">
        <f>85*1.5+180*3.5+11*9+13*11+32*12</f>
        <v>1383.5</v>
      </c>
      <c r="AG165" s="557">
        <f>16*28.5</f>
        <v>456</v>
      </c>
      <c r="AH165" s="118">
        <f>9*7+16*4+14*4+28*4</f>
        <v>295</v>
      </c>
      <c r="AI165" s="118"/>
      <c r="AJ165" s="118"/>
      <c r="AK165" s="118"/>
      <c r="AL165" s="557"/>
      <c r="AM165" s="116">
        <f>AA165-AB165-AD165-AE165-AF165-AH165</f>
        <v>4032.1400000000003</v>
      </c>
      <c r="AN165" s="268">
        <f t="shared" si="47"/>
        <v>6195.14</v>
      </c>
      <c r="AO165" s="269">
        <f t="shared" si="50"/>
        <v>6651.14</v>
      </c>
      <c r="AP165" s="270">
        <f>(AM165+AL165)*0.3+(AG165+AF165+AE165+AD165)*0.6</f>
        <v>2604.0419999999999</v>
      </c>
      <c r="AQ165" s="115">
        <f>F165-AP165</f>
        <v>1349.9580000000001</v>
      </c>
      <c r="AR165" s="303">
        <f t="shared" si="44"/>
        <v>360.82126760399996</v>
      </c>
      <c r="AS165" s="556">
        <f>AM165+AH165</f>
        <v>4327.1400000000003</v>
      </c>
      <c r="AT165" s="256">
        <f>AD165+AE165+AF165+AS165+AG165+AL165</f>
        <v>6651.14</v>
      </c>
      <c r="AU165" s="132">
        <f t="shared" si="43"/>
        <v>2692.5419999999999</v>
      </c>
      <c r="AV165" s="257"/>
    </row>
    <row r="166" spans="1:48" s="239" customFormat="1" thickBot="1">
      <c r="B166" s="275" t="s">
        <v>320</v>
      </c>
      <c r="C166" s="276"/>
      <c r="D166" s="276"/>
      <c r="E166" s="327">
        <f>SUM(E163:E165)</f>
        <v>2394</v>
      </c>
      <c r="F166" s="327">
        <f>SUM(F163:F165)</f>
        <v>3560</v>
      </c>
      <c r="G166" s="397">
        <f>SUM(G163:G165)</f>
        <v>718.92777599999999</v>
      </c>
      <c r="H166" s="397">
        <f>SUM(H163:H165)</f>
        <v>932.09667200000001</v>
      </c>
      <c r="I166" s="397"/>
      <c r="J166" s="397"/>
      <c r="K166" s="327">
        <f>SUM(K163:K165)</f>
        <v>0</v>
      </c>
      <c r="L166" s="328">
        <f>SUM(L163:L165)</f>
        <v>1946.0744480000001</v>
      </c>
      <c r="M166" s="263">
        <f>E173</f>
        <v>0</v>
      </c>
      <c r="N166" s="173" t="e">
        <f>E173/C173</f>
        <v>#DIV/0!</v>
      </c>
      <c r="O166" s="173" t="e">
        <f>N166*3</f>
        <v>#DIV/0!</v>
      </c>
      <c r="P166" s="173" t="e">
        <f>E173-O166</f>
        <v>#DIV/0!</v>
      </c>
      <c r="Q166" s="264"/>
      <c r="R166" s="264"/>
      <c r="S166" s="264"/>
      <c r="T166" s="264"/>
      <c r="U166" s="265">
        <f>1.0351*L173</f>
        <v>0</v>
      </c>
      <c r="V166" s="266"/>
      <c r="W166" s="264"/>
      <c r="X166" s="264"/>
      <c r="Y166" s="264"/>
      <c r="Z166" s="264"/>
      <c r="AA166" s="115"/>
      <c r="AB166" s="115"/>
      <c r="AC166" s="385"/>
      <c r="AD166" s="385"/>
      <c r="AE166" s="385"/>
      <c r="AF166" s="420"/>
      <c r="AG166" s="420"/>
      <c r="AH166" s="307"/>
      <c r="AI166" s="307"/>
      <c r="AJ166" s="307"/>
      <c r="AK166" s="307"/>
      <c r="AL166" s="307"/>
      <c r="AM166" s="300">
        <f>AA166-AB166-AD166-AE166-AF166-AH166</f>
        <v>0</v>
      </c>
      <c r="AN166" s="269">
        <f t="shared" si="47"/>
        <v>0</v>
      </c>
      <c r="AO166" s="269">
        <f t="shared" si="50"/>
        <v>0</v>
      </c>
      <c r="AP166" s="270">
        <f>(AM166+AL166)*0.3+(AG166+AF166+AE166+AD166)*0.6</f>
        <v>0</v>
      </c>
      <c r="AQ166" s="115">
        <f>F166-AP166</f>
        <v>3560</v>
      </c>
      <c r="AR166" s="303">
        <f t="shared" si="44"/>
        <v>0</v>
      </c>
      <c r="AS166" s="308"/>
      <c r="AT166" s="302">
        <f>AD166+AE166+AF166+AH166+AM166</f>
        <v>0</v>
      </c>
      <c r="AU166" s="132">
        <f t="shared" si="43"/>
        <v>0</v>
      </c>
      <c r="AV166" s="257"/>
    </row>
    <row r="167" spans="1:48" s="239" customFormat="1" ht="12" customHeight="1">
      <c r="B167" s="309" t="s">
        <v>439</v>
      </c>
      <c r="C167" s="242"/>
      <c r="D167" s="242"/>
      <c r="E167" s="242"/>
      <c r="F167" s="242"/>
      <c r="G167" s="243"/>
      <c r="H167" s="243"/>
      <c r="I167" s="242"/>
      <c r="J167" s="242"/>
      <c r="K167" s="242"/>
      <c r="L167" s="244"/>
      <c r="M167" s="263"/>
      <c r="N167" s="264"/>
      <c r="O167" s="173"/>
      <c r="P167" s="173"/>
      <c r="Q167" s="264"/>
      <c r="R167" s="264"/>
      <c r="S167" s="271">
        <f>T167-L174</f>
        <v>35.587040000000059</v>
      </c>
      <c r="T167" s="271">
        <f>L174*1.1</f>
        <v>391.45744000000008</v>
      </c>
      <c r="U167" s="265">
        <f>2035.67</f>
        <v>2035.67</v>
      </c>
      <c r="V167" s="266">
        <f>U167/L174</f>
        <v>5.7202565877915106</v>
      </c>
      <c r="W167" s="264"/>
      <c r="X167" s="264"/>
      <c r="Y167" s="264"/>
      <c r="Z167" s="264"/>
      <c r="AA167" s="115"/>
      <c r="AB167" s="115"/>
      <c r="AC167" s="115"/>
      <c r="AD167" s="115"/>
      <c r="AE167" s="115"/>
      <c r="AF167" s="304"/>
      <c r="AG167" s="304"/>
      <c r="AH167" s="321"/>
      <c r="AI167" s="321"/>
      <c r="AJ167" s="321"/>
      <c r="AK167" s="321"/>
      <c r="AL167" s="321"/>
      <c r="AM167" s="321"/>
      <c r="AN167" s="321"/>
      <c r="AO167" s="321"/>
      <c r="AP167" s="421"/>
      <c r="AQ167" s="321"/>
      <c r="AR167" s="422"/>
      <c r="AS167" s="423"/>
      <c r="AT167" s="316">
        <f>AD167+AE167+AF167+AH167+AM167</f>
        <v>0</v>
      </c>
      <c r="AU167" s="132">
        <f t="shared" si="43"/>
        <v>0</v>
      </c>
      <c r="AV167" s="257"/>
    </row>
    <row r="168" spans="1:48" s="239" customFormat="1" ht="15" customHeight="1">
      <c r="A168" s="239">
        <f>324/2</f>
        <v>162</v>
      </c>
      <c r="B168" s="240" t="s">
        <v>440</v>
      </c>
      <c r="C168" s="258">
        <v>9</v>
      </c>
      <c r="D168" s="259" t="s">
        <v>56</v>
      </c>
      <c r="E168" s="259">
        <v>1375</v>
      </c>
      <c r="F168" s="259">
        <v>3398</v>
      </c>
      <c r="G168" s="261">
        <f>E168*0.300304</f>
        <v>412.91800000000001</v>
      </c>
      <c r="H168" s="261">
        <f>F168*0.124048</f>
        <v>421.51510400000001</v>
      </c>
      <c r="I168" s="261">
        <f>40.2*D168</f>
        <v>201</v>
      </c>
      <c r="J168" s="261">
        <f>1.95*D168</f>
        <v>9.75</v>
      </c>
      <c r="K168" s="259"/>
      <c r="L168" s="384">
        <f>SUM(G168:K168)-0</f>
        <v>1045.183104</v>
      </c>
      <c r="M168" s="263">
        <f>E175</f>
        <v>0</v>
      </c>
      <c r="N168" s="173" t="e">
        <f>E175/C175</f>
        <v>#DIV/0!</v>
      </c>
      <c r="O168" s="173" t="e">
        <f>N168*3</f>
        <v>#DIV/0!</v>
      </c>
      <c r="P168" s="173" t="e">
        <f>E175-O168</f>
        <v>#DIV/0!</v>
      </c>
      <c r="Q168" s="264"/>
      <c r="R168" s="264"/>
      <c r="S168" s="264"/>
      <c r="T168" s="264"/>
      <c r="U168" s="265">
        <f>0.5891*L175</f>
        <v>0</v>
      </c>
      <c r="V168" s="266"/>
      <c r="W168" s="264"/>
      <c r="X168" s="264"/>
      <c r="Y168" s="264"/>
      <c r="Z168" s="264"/>
      <c r="AA168" s="115">
        <f>7868.28/(1174+1524)*1524</f>
        <v>4444.4991549295773</v>
      </c>
      <c r="AB168" s="267">
        <v>1524</v>
      </c>
      <c r="AC168" s="267"/>
      <c r="AD168" s="556">
        <v>278</v>
      </c>
      <c r="AE168" s="556">
        <f>10*8+5*4.5*5+5*5*2</f>
        <v>242.5</v>
      </c>
      <c r="AF168" s="565">
        <f>3.5*65+2.5*13+5*44</f>
        <v>480</v>
      </c>
      <c r="AG168" s="565">
        <f>28*14</f>
        <v>392</v>
      </c>
      <c r="AH168" s="118">
        <f>16.5*4+6*44+18*4</f>
        <v>402</v>
      </c>
      <c r="AI168" s="118"/>
      <c r="AJ168" s="118"/>
      <c r="AK168" s="118"/>
      <c r="AL168" s="557">
        <f>10*11</f>
        <v>110</v>
      </c>
      <c r="AM168" s="116">
        <f>AA168-AB168-AD168-AE168-AF168-AH168</f>
        <v>1517.9991549295773</v>
      </c>
      <c r="AN168" s="268">
        <f t="shared" ref="AN168:AN185" si="51">AA168-AB168</f>
        <v>2920.4991549295773</v>
      </c>
      <c r="AO168" s="269">
        <f>AD168+AE168+AF168+AG168+AH168+AL168+AM168</f>
        <v>3422.4991549295773</v>
      </c>
      <c r="AP168" s="270">
        <f>(AM168+AL168)*0.3+(AG168+AF168+AE168+AD168)*0.6</f>
        <v>1323.8997464788731</v>
      </c>
      <c r="AQ168" s="115">
        <f t="shared" ref="AQ168:AQ185" si="52">F168-AP168</f>
        <v>2074.1002535211269</v>
      </c>
      <c r="AR168" s="303">
        <f>AP168*0.138562</f>
        <v>183.44219667160561</v>
      </c>
      <c r="AS168" s="556">
        <f>AM168+AH168</f>
        <v>1919.9991549295773</v>
      </c>
      <c r="AT168" s="256">
        <f>AD168+AE168+AF168+AS168+AG168+AL168</f>
        <v>3422.4991549295773</v>
      </c>
      <c r="AU168" s="132">
        <f t="shared" si="43"/>
        <v>1444.499746478873</v>
      </c>
      <c r="AV168" s="257"/>
    </row>
    <row r="169" spans="1:48" s="239" customFormat="1" ht="15" customHeight="1">
      <c r="A169" s="378">
        <f>324/2</f>
        <v>162</v>
      </c>
      <c r="B169" s="240" t="s">
        <v>441</v>
      </c>
      <c r="C169" s="258" t="s">
        <v>336</v>
      </c>
      <c r="D169" s="259" t="s">
        <v>54</v>
      </c>
      <c r="E169" s="259">
        <v>1100</v>
      </c>
      <c r="F169" s="259">
        <v>2719</v>
      </c>
      <c r="G169" s="261">
        <f>E169*0.300304</f>
        <v>330.33440000000002</v>
      </c>
      <c r="H169" s="261">
        <f>F169*0.124048</f>
        <v>337.28651200000002</v>
      </c>
      <c r="I169" s="261">
        <f>40.2*D169</f>
        <v>160.80000000000001</v>
      </c>
      <c r="J169" s="261">
        <f>1.95*D169</f>
        <v>7.8</v>
      </c>
      <c r="K169" s="259"/>
      <c r="L169" s="262">
        <f>SUM(G169:K169)</f>
        <v>836.220912</v>
      </c>
      <c r="M169" s="263"/>
      <c r="N169" s="379"/>
      <c r="O169" s="173"/>
      <c r="P169" s="173"/>
      <c r="Q169" s="379"/>
      <c r="R169" s="379"/>
      <c r="S169" s="271">
        <f>T169-L176</f>
        <v>131.91533600000002</v>
      </c>
      <c r="T169" s="271">
        <f>L176*1.1</f>
        <v>1451.068696</v>
      </c>
      <c r="U169" s="329">
        <v>618.91999999999996</v>
      </c>
      <c r="V169" s="330">
        <f>U169/L176</f>
        <v>0.46917971690569771</v>
      </c>
      <c r="W169" s="379"/>
      <c r="X169" s="379"/>
      <c r="Y169" s="379"/>
      <c r="Z169" s="379"/>
      <c r="AA169" s="380">
        <f>7868.284/(1174+1524)*1174</f>
        <v>3423.782585618977</v>
      </c>
      <c r="AB169" s="381">
        <v>1174</v>
      </c>
      <c r="AC169" s="381"/>
      <c r="AD169" s="556">
        <v>260</v>
      </c>
      <c r="AE169" s="556">
        <f>5*5*2+5*6+25</f>
        <v>105</v>
      </c>
      <c r="AF169" s="557">
        <f>3*14.5+80*3.5+2*16</f>
        <v>355.5</v>
      </c>
      <c r="AG169" s="557"/>
      <c r="AH169" s="118">
        <f>18*6+5*8+71*6</f>
        <v>574</v>
      </c>
      <c r="AI169" s="118"/>
      <c r="AJ169" s="118"/>
      <c r="AK169" s="118"/>
      <c r="AL169" s="557">
        <f>10*10+14*22</f>
        <v>408</v>
      </c>
      <c r="AM169" s="116">
        <f>AA169-AB169-AD169-AE169-AF169-AH169</f>
        <v>955.28258561897701</v>
      </c>
      <c r="AN169" s="268">
        <f t="shared" si="51"/>
        <v>2249.782585618977</v>
      </c>
      <c r="AO169" s="269">
        <f>AD169+AE169+AF169+AG169+AH169+AL169+AM169</f>
        <v>2657.782585618977</v>
      </c>
      <c r="AP169" s="270">
        <f>(AM169+AL169)*0.3+(AG169+AF169+AE169+AD169)*0.6</f>
        <v>841.28477568569315</v>
      </c>
      <c r="AQ169" s="115">
        <f t="shared" si="52"/>
        <v>1877.7152243143069</v>
      </c>
      <c r="AR169" s="303">
        <f>AP169*0.138562</f>
        <v>116.570101088561</v>
      </c>
      <c r="AS169" s="556">
        <f>AM169+AH169</f>
        <v>1529.282585618977</v>
      </c>
      <c r="AT169" s="256">
        <f>AD169+AE169+AF169+AS169+AG169+AL169</f>
        <v>2657.782585618977</v>
      </c>
      <c r="AU169" s="132">
        <f t="shared" si="43"/>
        <v>1013.4847756856932</v>
      </c>
      <c r="AV169" s="257"/>
    </row>
    <row r="170" spans="1:48" s="239" customFormat="1" thickBot="1">
      <c r="B170" s="424" t="s">
        <v>320</v>
      </c>
      <c r="C170" s="425"/>
      <c r="D170" s="425"/>
      <c r="E170" s="426">
        <f t="shared" ref="E170:J170" si="53">SUM(E168:E169)</f>
        <v>2475</v>
      </c>
      <c r="F170" s="426">
        <f t="shared" si="53"/>
        <v>6117</v>
      </c>
      <c r="G170" s="427">
        <f t="shared" si="53"/>
        <v>743.25240000000008</v>
      </c>
      <c r="H170" s="427">
        <f t="shared" si="53"/>
        <v>758.80161599999997</v>
      </c>
      <c r="I170" s="427">
        <f t="shared" si="53"/>
        <v>361.8</v>
      </c>
      <c r="J170" s="427">
        <f t="shared" si="53"/>
        <v>17.55</v>
      </c>
      <c r="K170" s="426"/>
      <c r="L170" s="428">
        <f>SUM(L168:L169)</f>
        <v>1881.404016</v>
      </c>
      <c r="M170" s="263">
        <f>E177</f>
        <v>206</v>
      </c>
      <c r="N170" s="173">
        <f>E177/C177</f>
        <v>41.2</v>
      </c>
      <c r="O170" s="173">
        <f>N170*3</f>
        <v>123.60000000000001</v>
      </c>
      <c r="P170" s="173">
        <f>E177-O170</f>
        <v>82.399999999999991</v>
      </c>
      <c r="Q170" s="264"/>
      <c r="R170" s="264"/>
      <c r="S170" s="264"/>
      <c r="T170" s="264"/>
      <c r="U170" s="265">
        <f>L177*1.2556</f>
        <v>312.32455347840005</v>
      </c>
      <c r="V170" s="266"/>
      <c r="W170" s="264"/>
      <c r="X170" s="264"/>
      <c r="Y170" s="265">
        <f>24/134</f>
        <v>0.17910447761194029</v>
      </c>
      <c r="Z170" s="264"/>
      <c r="AA170" s="429"/>
      <c r="AB170" s="429"/>
      <c r="AC170" s="430"/>
      <c r="AD170" s="430"/>
      <c r="AE170" s="430"/>
      <c r="AF170" s="431"/>
      <c r="AG170" s="431"/>
      <c r="AH170" s="432"/>
      <c r="AI170" s="432"/>
      <c r="AJ170" s="432"/>
      <c r="AK170" s="432"/>
      <c r="AL170" s="432"/>
      <c r="AM170" s="433">
        <f>AA170-AB170-AD170-AE170-AF170-AH170</f>
        <v>0</v>
      </c>
      <c r="AN170" s="434">
        <f t="shared" si="51"/>
        <v>0</v>
      </c>
      <c r="AO170" s="434"/>
      <c r="AP170" s="435">
        <f>(AM170+AL170)*0.3+(AG170+AF170+AE170+AD170)*0.6</f>
        <v>0</v>
      </c>
      <c r="AQ170" s="429">
        <f t="shared" si="52"/>
        <v>6117</v>
      </c>
      <c r="AR170" s="322">
        <f>AP170*0.138562</f>
        <v>0</v>
      </c>
      <c r="AS170" s="395"/>
      <c r="AT170" s="302">
        <f>AD170+AE170+AF170+AH170+AM170</f>
        <v>0</v>
      </c>
      <c r="AU170" s="132">
        <f t="shared" si="43"/>
        <v>0</v>
      </c>
      <c r="AV170" s="257"/>
    </row>
    <row r="171" spans="1:48" s="239" customFormat="1" ht="13.5" customHeight="1">
      <c r="B171" s="309" t="s">
        <v>442</v>
      </c>
      <c r="C171" s="242"/>
      <c r="D171" s="242"/>
      <c r="E171" s="242"/>
      <c r="F171" s="242"/>
      <c r="G171" s="243"/>
      <c r="H171" s="243"/>
      <c r="I171" s="243"/>
      <c r="J171" s="243"/>
      <c r="K171" s="242"/>
      <c r="L171" s="244"/>
      <c r="M171" s="245">
        <f>E178</f>
        <v>183</v>
      </c>
      <c r="N171" s="234">
        <f>E178/C178</f>
        <v>36.6</v>
      </c>
      <c r="O171" s="234">
        <f>N171*3</f>
        <v>109.80000000000001</v>
      </c>
      <c r="P171" s="234">
        <f>E178-O171</f>
        <v>73.199999999999989</v>
      </c>
      <c r="Q171" s="246"/>
      <c r="R171" s="246"/>
      <c r="S171" s="246"/>
      <c r="T171" s="246"/>
      <c r="U171" s="247">
        <f>L178*1.2556</f>
        <v>259.17874214400007</v>
      </c>
      <c r="V171" s="248"/>
      <c r="W171" s="246"/>
      <c r="X171" s="246"/>
      <c r="Y171" s="246"/>
      <c r="Z171" s="246"/>
      <c r="AA171" s="249"/>
      <c r="AB171" s="249"/>
      <c r="AC171" s="249"/>
      <c r="AD171" s="249"/>
      <c r="AE171" s="249"/>
      <c r="AF171" s="249"/>
      <c r="AG171" s="249"/>
      <c r="AH171" s="436"/>
      <c r="AI171" s="436"/>
      <c r="AJ171" s="436"/>
      <c r="AK171" s="436"/>
      <c r="AL171" s="436"/>
      <c r="AM171" s="253">
        <f>AA171-AB171-AD171-AE171-AF171-AH171</f>
        <v>0</v>
      </c>
      <c r="AN171" s="253">
        <f t="shared" si="51"/>
        <v>0</v>
      </c>
      <c r="AO171" s="253"/>
      <c r="AP171" s="254">
        <f>(AM171+AL171)*0.3+(AG171+AF171+AE171+AD171)*0.6</f>
        <v>0</v>
      </c>
      <c r="AQ171" s="249">
        <f t="shared" si="52"/>
        <v>0</v>
      </c>
      <c r="AR171" s="437">
        <f>AP171*0.138562</f>
        <v>0</v>
      </c>
      <c r="AS171" s="395"/>
      <c r="AT171" s="316">
        <f>AD171+AE171+AF171+AH171+AM171</f>
        <v>0</v>
      </c>
      <c r="AU171" s="132">
        <f t="shared" si="43"/>
        <v>0</v>
      </c>
      <c r="AV171" s="257"/>
    </row>
    <row r="172" spans="1:48" s="239" customFormat="1" ht="15" customHeight="1">
      <c r="A172" s="325">
        <v>53</v>
      </c>
      <c r="B172" s="390" t="s">
        <v>443</v>
      </c>
      <c r="C172" s="272">
        <v>5</v>
      </c>
      <c r="D172" s="260">
        <v>2</v>
      </c>
      <c r="E172" s="260">
        <v>451</v>
      </c>
      <c r="F172" s="260">
        <v>1777</v>
      </c>
      <c r="G172" s="261">
        <f>E172*0.300304</f>
        <v>135.43710400000001</v>
      </c>
      <c r="H172" s="261">
        <f>F172*0.124048</f>
        <v>220.43329600000001</v>
      </c>
      <c r="I172" s="261"/>
      <c r="J172" s="261"/>
      <c r="K172" s="259"/>
      <c r="L172" s="262">
        <f>G172+H172+I172+J172+K172</f>
        <v>355.87040000000002</v>
      </c>
      <c r="M172" s="263">
        <f>E172</f>
        <v>451</v>
      </c>
      <c r="N172" s="173">
        <f>E172/C172</f>
        <v>90.2</v>
      </c>
      <c r="O172" s="173">
        <f>N172*3</f>
        <v>270.60000000000002</v>
      </c>
      <c r="P172" s="173">
        <f>E172-O172</f>
        <v>180.39999999999998</v>
      </c>
      <c r="Q172" s="329"/>
      <c r="R172" s="329"/>
      <c r="S172" s="329"/>
      <c r="T172" s="329"/>
      <c r="U172" s="329">
        <f>L172*1.071</f>
        <v>381.13719839999999</v>
      </c>
      <c r="V172" s="330"/>
      <c r="W172" s="329"/>
      <c r="X172" s="329"/>
      <c r="Y172" s="329"/>
      <c r="Z172" s="329"/>
      <c r="AA172" s="331"/>
      <c r="AB172" s="333"/>
      <c r="AC172" s="333"/>
      <c r="AD172" s="556">
        <f>(14+54)*2+10+10</f>
        <v>156</v>
      </c>
      <c r="AE172" s="556">
        <f>7*8+4*5</f>
        <v>76</v>
      </c>
      <c r="AF172" s="557">
        <f>4*12+4*4+18*4+54*2+4*4+36*4</f>
        <v>404</v>
      </c>
      <c r="AG172" s="557"/>
      <c r="AH172" s="116">
        <f>6*7+12*3+2*17</f>
        <v>112</v>
      </c>
      <c r="AI172" s="116"/>
      <c r="AJ172" s="116"/>
      <c r="AK172" s="116"/>
      <c r="AL172" s="557"/>
      <c r="AM172" s="116">
        <f>6*27+14*4+1.5*4*4</f>
        <v>242</v>
      </c>
      <c r="AN172" s="268">
        <f t="shared" si="51"/>
        <v>0</v>
      </c>
      <c r="AO172" s="269">
        <f>AD172+AE172+AF172+AG172+AH172+AL172+AM172</f>
        <v>990</v>
      </c>
      <c r="AP172" s="270">
        <f>(AM172+AL172+AH172)*0.3+(AG172+AF172+AE172+AD172)*0.6</f>
        <v>487.79999999999995</v>
      </c>
      <c r="AQ172" s="115">
        <f t="shared" si="52"/>
        <v>1289.2</v>
      </c>
      <c r="AR172" s="333"/>
      <c r="AS172" s="556">
        <f>AM172+AH172</f>
        <v>354</v>
      </c>
      <c r="AT172" s="256">
        <f>AD172+AE172+AF172+AS172+AG172+AL172</f>
        <v>990</v>
      </c>
      <c r="AU172" s="132">
        <f t="shared" si="43"/>
        <v>487.79999999999995</v>
      </c>
      <c r="AV172" s="257"/>
    </row>
    <row r="173" spans="1:48" s="239" customFormat="1" ht="15">
      <c r="B173" s="438"/>
      <c r="C173" s="259"/>
      <c r="D173" s="259"/>
      <c r="E173" s="259"/>
      <c r="F173" s="259"/>
      <c r="G173" s="261"/>
      <c r="H173" s="261"/>
      <c r="I173" s="261"/>
      <c r="J173" s="261"/>
      <c r="K173" s="259"/>
      <c r="L173" s="262"/>
      <c r="M173" s="263"/>
      <c r="N173" s="264"/>
      <c r="O173" s="173"/>
      <c r="P173" s="173"/>
      <c r="Q173" s="264"/>
      <c r="R173" s="264"/>
      <c r="S173" s="264"/>
      <c r="T173" s="264"/>
      <c r="U173" s="265"/>
      <c r="V173" s="266"/>
      <c r="W173" s="264"/>
      <c r="X173" s="264"/>
      <c r="Y173" s="264"/>
      <c r="Z173" s="264"/>
      <c r="AA173" s="115"/>
      <c r="AB173" s="115"/>
      <c r="AC173" s="385"/>
      <c r="AD173" s="385"/>
      <c r="AE173" s="385"/>
      <c r="AF173" s="439"/>
      <c r="AG173" s="439"/>
      <c r="AH173" s="307"/>
      <c r="AI173" s="307"/>
      <c r="AJ173" s="307"/>
      <c r="AK173" s="307"/>
      <c r="AL173" s="307"/>
      <c r="AM173" s="300">
        <f>AA173-AB173-AD173-AE173-AF173-AH173</f>
        <v>0</v>
      </c>
      <c r="AN173" s="269">
        <f t="shared" si="51"/>
        <v>0</v>
      </c>
      <c r="AO173" s="269">
        <f>AD173+AE173+AF173+AG173+AH173+AL173+AM173</f>
        <v>0</v>
      </c>
      <c r="AP173" s="270">
        <f>(AM173+AL173)*0.3+(AG173+AF173+AE173+AD173)*0.6</f>
        <v>0</v>
      </c>
      <c r="AQ173" s="115">
        <f t="shared" si="52"/>
        <v>0</v>
      </c>
      <c r="AR173" s="303">
        <f t="shared" ref="AR173:AR184" si="54">AP173*0.138562</f>
        <v>0</v>
      </c>
      <c r="AS173" s="308"/>
      <c r="AT173" s="302">
        <f>AD173+AE173+AF173+AH173+AM173</f>
        <v>0</v>
      </c>
      <c r="AU173" s="132">
        <f t="shared" si="43"/>
        <v>0</v>
      </c>
      <c r="AV173" s="257"/>
    </row>
    <row r="174" spans="1:48" s="239" customFormat="1" thickBot="1">
      <c r="B174" s="440" t="s">
        <v>320</v>
      </c>
      <c r="C174" s="391"/>
      <c r="D174" s="391"/>
      <c r="E174" s="327">
        <f t="shared" ref="E174:J174" si="55">SUM(E172:E173)</f>
        <v>451</v>
      </c>
      <c r="F174" s="327">
        <f t="shared" si="55"/>
        <v>1777</v>
      </c>
      <c r="G174" s="397">
        <f t="shared" si="55"/>
        <v>135.43710400000001</v>
      </c>
      <c r="H174" s="397">
        <f t="shared" si="55"/>
        <v>220.43329600000001</v>
      </c>
      <c r="I174" s="397">
        <f t="shared" si="55"/>
        <v>0</v>
      </c>
      <c r="J174" s="397">
        <f t="shared" si="55"/>
        <v>0</v>
      </c>
      <c r="K174" s="327"/>
      <c r="L174" s="328">
        <f>SUM(L172:L173)</f>
        <v>355.87040000000002</v>
      </c>
      <c r="M174" s="279">
        <f>E185</f>
        <v>947</v>
      </c>
      <c r="N174" s="281">
        <f>E185/C185</f>
        <v>105.22222222222223</v>
      </c>
      <c r="O174" s="281">
        <f>N174*3</f>
        <v>315.66666666666669</v>
      </c>
      <c r="P174" s="281">
        <f>E185-O174</f>
        <v>631.33333333333326</v>
      </c>
      <c r="Q174" s="292"/>
      <c r="R174" s="292"/>
      <c r="S174" s="292"/>
      <c r="T174" s="292"/>
      <c r="U174" s="283">
        <f>L185*1.2698</f>
        <v>804.61437743680017</v>
      </c>
      <c r="V174" s="284"/>
      <c r="W174" s="292"/>
      <c r="X174" s="292"/>
      <c r="Y174" s="292"/>
      <c r="Z174" s="292"/>
      <c r="AA174" s="441"/>
      <c r="AB174" s="441"/>
      <c r="AC174" s="441"/>
      <c r="AD174" s="441"/>
      <c r="AE174" s="441"/>
      <c r="AF174" s="441"/>
      <c r="AG174" s="441"/>
      <c r="AH174" s="442"/>
      <c r="AI174" s="442"/>
      <c r="AJ174" s="442"/>
      <c r="AK174" s="442"/>
      <c r="AL174" s="442"/>
      <c r="AM174" s="290">
        <f>AA174-AB174-AD174-AE174-AF174-AH174</f>
        <v>0</v>
      </c>
      <c r="AN174" s="290">
        <f t="shared" si="51"/>
        <v>0</v>
      </c>
      <c r="AO174" s="269">
        <f>AD174+AE174+AF174+AG174+AH174+AL174+AM174</f>
        <v>0</v>
      </c>
      <c r="AP174" s="291">
        <f>(AM174+AL174)*0.3+(AG174+AF174+AE174+AD174)*0.6</f>
        <v>0</v>
      </c>
      <c r="AQ174" s="441">
        <f t="shared" si="52"/>
        <v>1777</v>
      </c>
      <c r="AR174" s="443">
        <f t="shared" si="54"/>
        <v>0</v>
      </c>
      <c r="AS174" s="322"/>
      <c r="AT174" s="316">
        <f>AD174+AE174+AF174+AH174+AM174</f>
        <v>0</v>
      </c>
      <c r="AU174" s="132">
        <f t="shared" si="43"/>
        <v>0</v>
      </c>
      <c r="AV174" s="257"/>
    </row>
    <row r="175" spans="1:48" s="239" customFormat="1" ht="12.75" customHeight="1">
      <c r="B175" s="309" t="s">
        <v>444</v>
      </c>
      <c r="C175" s="242"/>
      <c r="D175" s="242"/>
      <c r="E175" s="242"/>
      <c r="F175" s="242"/>
      <c r="G175" s="243"/>
      <c r="H175" s="243"/>
      <c r="I175" s="243"/>
      <c r="J175" s="243"/>
      <c r="K175" s="242"/>
      <c r="L175" s="244"/>
      <c r="M175" s="245"/>
      <c r="N175" s="234"/>
      <c r="O175" s="234"/>
      <c r="P175" s="234"/>
      <c r="Q175" s="246"/>
      <c r="R175" s="246"/>
      <c r="S175" s="246"/>
      <c r="T175" s="246"/>
      <c r="U175" s="247"/>
      <c r="V175" s="248"/>
      <c r="W175" s="246"/>
      <c r="X175" s="246"/>
      <c r="Y175" s="246"/>
      <c r="Z175" s="246"/>
      <c r="AA175" s="249"/>
      <c r="AB175" s="249"/>
      <c r="AC175" s="249"/>
      <c r="AD175" s="249"/>
      <c r="AE175" s="249"/>
      <c r="AF175" s="249"/>
      <c r="AG175" s="249"/>
      <c r="AH175" s="436"/>
      <c r="AI175" s="436"/>
      <c r="AJ175" s="436"/>
      <c r="AK175" s="436"/>
      <c r="AL175" s="436"/>
      <c r="AM175" s="253">
        <f>AA175-AB175-AD175-AE175-AF175-AH175</f>
        <v>0</v>
      </c>
      <c r="AN175" s="253">
        <f t="shared" si="51"/>
        <v>0</v>
      </c>
      <c r="AO175" s="253"/>
      <c r="AP175" s="254">
        <f>(AM175+AL175)*0.3+(AG175+AF175+AE175+AD175)*0.6</f>
        <v>0</v>
      </c>
      <c r="AQ175" s="249">
        <f t="shared" si="52"/>
        <v>0</v>
      </c>
      <c r="AR175" s="437">
        <f t="shared" si="54"/>
        <v>0</v>
      </c>
      <c r="AS175" s="395"/>
      <c r="AT175" s="316">
        <f>AD175+AE175+AF175+AH175+AM175</f>
        <v>0</v>
      </c>
      <c r="AU175" s="132">
        <f t="shared" si="43"/>
        <v>0</v>
      </c>
      <c r="AV175" s="257"/>
    </row>
    <row r="176" spans="1:48" s="239" customFormat="1" ht="15" customHeight="1" thickBot="1">
      <c r="A176" s="239">
        <v>180</v>
      </c>
      <c r="B176" s="396" t="s">
        <v>445</v>
      </c>
      <c r="C176" s="258">
        <v>9</v>
      </c>
      <c r="D176" s="259">
        <v>5</v>
      </c>
      <c r="E176" s="259">
        <v>1355</v>
      </c>
      <c r="F176" s="261" t="s">
        <v>446</v>
      </c>
      <c r="G176" s="261">
        <f>E176*0.300304</f>
        <v>406.91192000000001</v>
      </c>
      <c r="H176" s="261">
        <f>F176*0.124048</f>
        <v>701.49144000000001</v>
      </c>
      <c r="I176" s="261">
        <f>40.2*D176</f>
        <v>201</v>
      </c>
      <c r="J176" s="261">
        <f>1.95*D176</f>
        <v>9.75</v>
      </c>
      <c r="K176" s="259"/>
      <c r="L176" s="444">
        <f>SUM(G176:J176)</f>
        <v>1319.15336</v>
      </c>
      <c r="M176" s="409">
        <f>E183</f>
        <v>399</v>
      </c>
      <c r="N176" s="445" t="e">
        <f>E183/C183</f>
        <v>#DIV/0!</v>
      </c>
      <c r="O176" s="445" t="e">
        <f>N176*3</f>
        <v>#DIV/0!</v>
      </c>
      <c r="P176" s="445" t="e">
        <f>E183-O176</f>
        <v>#DIV/0!</v>
      </c>
      <c r="Q176" s="441"/>
      <c r="R176" s="441"/>
      <c r="S176" s="441"/>
      <c r="T176" s="441"/>
      <c r="U176" s="446">
        <f>1.046*L183</f>
        <v>505.25339664000006</v>
      </c>
      <c r="V176" s="447"/>
      <c r="W176" s="441"/>
      <c r="X176" s="441"/>
      <c r="Y176" s="441"/>
      <c r="Z176" s="448"/>
      <c r="AA176" s="115"/>
      <c r="AB176" s="267"/>
      <c r="AC176" s="267"/>
      <c r="AD176" s="556">
        <f>(45+12)*2+(66+13)*2</f>
        <v>272</v>
      </c>
      <c r="AE176" s="556">
        <f>6*12+9*6+8*5+8.5*6+10*6</f>
        <v>277</v>
      </c>
      <c r="AF176" s="557">
        <f>46*4+5*8+26*13+26*13+43+28+14+12*6+12+11+24+32+18+1.5*16+4*65+28*3+69*2+62*2+64*2+24*2+30*2+8</f>
        <v>2028</v>
      </c>
      <c r="AG176" s="557"/>
      <c r="AH176" s="118">
        <f>4*6+4*14+4*12+6*3+4*12+5*18</f>
        <v>284</v>
      </c>
      <c r="AI176" s="118"/>
      <c r="AJ176" s="118"/>
      <c r="AK176" s="118"/>
      <c r="AL176" s="557"/>
      <c r="AM176" s="116">
        <f>-12-11-4*6+18*20/2+18*44+15*33-32-18+28*4+7*65+69*3+20*8+26*4/2+62*64/2+24*22+12*30+12*4</f>
        <v>5276</v>
      </c>
      <c r="AN176" s="268">
        <f t="shared" si="51"/>
        <v>0</v>
      </c>
      <c r="AO176" s="269">
        <f>AD176+AE176+AF176+AG176+AH176+AL176+AM176</f>
        <v>8137</v>
      </c>
      <c r="AP176" s="380">
        <f>(AM176+AL176+AH176)*0.3+(AG176+AF176+AE176+AD176)*0.6</f>
        <v>3214.2</v>
      </c>
      <c r="AQ176" s="115">
        <f t="shared" si="52"/>
        <v>2440.8000000000002</v>
      </c>
      <c r="AR176" s="303">
        <f t="shared" si="54"/>
        <v>445.36598039999996</v>
      </c>
      <c r="AS176" s="556">
        <f>AM176+AH176</f>
        <v>5560</v>
      </c>
      <c r="AT176" s="256">
        <f>AD176+AE176+AF176+AS176+AG176+AL176</f>
        <v>8137</v>
      </c>
      <c r="AU176" s="132">
        <f t="shared" si="43"/>
        <v>3214.2</v>
      </c>
      <c r="AV176" s="257"/>
    </row>
    <row r="177" spans="1:61" s="239" customFormat="1" ht="15" customHeight="1">
      <c r="A177" s="239">
        <v>680</v>
      </c>
      <c r="B177" s="240" t="s">
        <v>447</v>
      </c>
      <c r="C177" s="258">
        <v>5</v>
      </c>
      <c r="D177" s="259">
        <v>3</v>
      </c>
      <c r="E177" s="259">
        <v>206</v>
      </c>
      <c r="F177" s="259">
        <v>1305</v>
      </c>
      <c r="G177" s="261">
        <f>E177*0.300304</f>
        <v>61.862624000000004</v>
      </c>
      <c r="H177" s="261">
        <f>F177*0.124048</f>
        <v>161.88264000000001</v>
      </c>
      <c r="I177" s="261"/>
      <c r="J177" s="261"/>
      <c r="K177" s="259">
        <v>25</v>
      </c>
      <c r="L177" s="262">
        <f>SUM(G177:K177)</f>
        <v>248.74526400000002</v>
      </c>
      <c r="M177" s="263">
        <f>E184</f>
        <v>0</v>
      </c>
      <c r="N177" s="173" t="e">
        <f>E184/C184</f>
        <v>#DIV/0!</v>
      </c>
      <c r="O177" s="173" t="e">
        <f>N177*3</f>
        <v>#DIV/0!</v>
      </c>
      <c r="P177" s="173" t="e">
        <f>E184-O177</f>
        <v>#DIV/0!</v>
      </c>
      <c r="Q177" s="264"/>
      <c r="R177" s="264"/>
      <c r="S177" s="264"/>
      <c r="T177" s="264"/>
      <c r="U177" s="265">
        <f>1.0553*L184</f>
        <v>0</v>
      </c>
      <c r="V177" s="266"/>
      <c r="W177" s="264"/>
      <c r="X177" s="264"/>
      <c r="Y177" s="264"/>
      <c r="Z177" s="264"/>
      <c r="AA177" s="115">
        <v>2800</v>
      </c>
      <c r="AB177" s="267">
        <v>583</v>
      </c>
      <c r="AC177" s="267"/>
      <c r="AD177" s="556">
        <v>128</v>
      </c>
      <c r="AE177" s="556">
        <f>3*7*3</f>
        <v>63</v>
      </c>
      <c r="AF177" s="557">
        <f>52*3.5+40*3</f>
        <v>302</v>
      </c>
      <c r="AG177" s="557"/>
      <c r="AH177" s="118">
        <f>6*7*2+16*6*2</f>
        <v>276</v>
      </c>
      <c r="AI177" s="118"/>
      <c r="AJ177" s="118"/>
      <c r="AK177" s="118"/>
      <c r="AL177" s="557"/>
      <c r="AM177" s="116">
        <f t="shared" ref="AM177:AM184" si="56">AA177-AB177-AD177-AE177-AF177-AH177</f>
        <v>1448</v>
      </c>
      <c r="AN177" s="268">
        <f t="shared" si="51"/>
        <v>2217</v>
      </c>
      <c r="AO177" s="269">
        <f>AD177+AE177+AF177+AG177+AH177+AL177+AM177</f>
        <v>2217</v>
      </c>
      <c r="AP177" s="270">
        <f t="shared" ref="AP177:AP184" si="57">(AM177+AL177)*0.3+(AG177+AF177+AE177+AD177)*0.6</f>
        <v>730.2</v>
      </c>
      <c r="AQ177" s="115">
        <f t="shared" si="52"/>
        <v>574.79999999999995</v>
      </c>
      <c r="AR177" s="303">
        <f t="shared" si="54"/>
        <v>101.1779724</v>
      </c>
      <c r="AS177" s="556">
        <f>AM177+AH177</f>
        <v>1724</v>
      </c>
      <c r="AT177" s="256">
        <f>AD177+AE177+AF177+AS177+AG177+AL177</f>
        <v>2217</v>
      </c>
      <c r="AU177" s="132">
        <f t="shared" si="43"/>
        <v>813</v>
      </c>
      <c r="AV177" s="257"/>
    </row>
    <row r="178" spans="1:61" s="239" customFormat="1" ht="15" customHeight="1">
      <c r="A178" s="239">
        <v>60</v>
      </c>
      <c r="B178" s="240" t="s">
        <v>448</v>
      </c>
      <c r="C178" s="258">
        <v>5</v>
      </c>
      <c r="D178" s="259">
        <v>3</v>
      </c>
      <c r="E178" s="259">
        <v>183</v>
      </c>
      <c r="F178" s="259">
        <v>1221</v>
      </c>
      <c r="G178" s="261">
        <f>E178*0.300304</f>
        <v>54.955632000000001</v>
      </c>
      <c r="H178" s="261">
        <f>F178*0.124048</f>
        <v>151.46260800000002</v>
      </c>
      <c r="I178" s="261"/>
      <c r="J178" s="261"/>
      <c r="K178" s="259"/>
      <c r="L178" s="262">
        <f>SUM(G178:K178)</f>
        <v>206.41824000000003</v>
      </c>
      <c r="M178" s="263">
        <f>E185</f>
        <v>947</v>
      </c>
      <c r="N178" s="264"/>
      <c r="O178" s="173"/>
      <c r="P178" s="173"/>
      <c r="Q178" s="264"/>
      <c r="R178" s="264"/>
      <c r="S178" s="264"/>
      <c r="T178" s="264"/>
      <c r="U178" s="265"/>
      <c r="V178" s="266"/>
      <c r="W178" s="264"/>
      <c r="X178" s="264"/>
      <c r="Y178" s="264"/>
      <c r="Z178" s="264"/>
      <c r="AA178" s="115">
        <v>2660</v>
      </c>
      <c r="AB178" s="267">
        <v>583</v>
      </c>
      <c r="AC178" s="267"/>
      <c r="AD178" s="556">
        <v>128</v>
      </c>
      <c r="AE178" s="556">
        <f>3*7*3</f>
        <v>63</v>
      </c>
      <c r="AF178" s="557">
        <f>52*3.5+38*3</f>
        <v>296</v>
      </c>
      <c r="AG178" s="557"/>
      <c r="AH178" s="118">
        <f>6*7*2+16*6*2</f>
        <v>276</v>
      </c>
      <c r="AI178" s="118"/>
      <c r="AJ178" s="118"/>
      <c r="AK178" s="118"/>
      <c r="AL178" s="557"/>
      <c r="AM178" s="116">
        <f t="shared" si="56"/>
        <v>1314</v>
      </c>
      <c r="AN178" s="268">
        <f t="shared" si="51"/>
        <v>2077</v>
      </c>
      <c r="AO178" s="269">
        <f>AD178+AE178+AF178+AG178+AH178+AL178+AM178</f>
        <v>2077</v>
      </c>
      <c r="AP178" s="270">
        <f t="shared" si="57"/>
        <v>686.4</v>
      </c>
      <c r="AQ178" s="115">
        <f t="shared" si="52"/>
        <v>534.6</v>
      </c>
      <c r="AR178" s="303">
        <f t="shared" si="54"/>
        <v>95.108956799999987</v>
      </c>
      <c r="AS178" s="556">
        <f>AM178+AH178</f>
        <v>1590</v>
      </c>
      <c r="AT178" s="256">
        <f>AD178+AE178+AF178+AS178+AG178+AL178</f>
        <v>2077</v>
      </c>
      <c r="AU178" s="132">
        <f t="shared" si="43"/>
        <v>769.2</v>
      </c>
      <c r="AV178" s="257"/>
    </row>
    <row r="179" spans="1:61" s="239" customFormat="1" thickBot="1">
      <c r="B179" s="275" t="s">
        <v>320</v>
      </c>
      <c r="C179" s="391"/>
      <c r="D179" s="391"/>
      <c r="E179" s="327">
        <f>SUM(E176:E178)</f>
        <v>1744</v>
      </c>
      <c r="F179" s="327">
        <f>SUM(F176:F178)</f>
        <v>2526</v>
      </c>
      <c r="G179" s="397">
        <f>SUM(G176:G178)-0.01</f>
        <v>523.72017600000004</v>
      </c>
      <c r="H179" s="397">
        <f t="shared" ref="H179:Z179" si="58">SUM(H176:H178)</f>
        <v>1014.8366880000001</v>
      </c>
      <c r="I179" s="397">
        <f t="shared" si="58"/>
        <v>201</v>
      </c>
      <c r="J179" s="397">
        <f t="shared" si="58"/>
        <v>9.75</v>
      </c>
      <c r="K179" s="327">
        <f t="shared" si="58"/>
        <v>25</v>
      </c>
      <c r="L179" s="328">
        <f t="shared" si="58"/>
        <v>1774.3168639999999</v>
      </c>
      <c r="M179" s="449">
        <f t="shared" si="58"/>
        <v>1346</v>
      </c>
      <c r="N179" s="327" t="e">
        <f t="shared" si="58"/>
        <v>#DIV/0!</v>
      </c>
      <c r="O179" s="327" t="e">
        <f t="shared" si="58"/>
        <v>#DIV/0!</v>
      </c>
      <c r="P179" s="327" t="e">
        <f t="shared" si="58"/>
        <v>#DIV/0!</v>
      </c>
      <c r="Q179" s="327">
        <f t="shared" si="58"/>
        <v>0</v>
      </c>
      <c r="R179" s="327">
        <f t="shared" si="58"/>
        <v>0</v>
      </c>
      <c r="S179" s="327">
        <f t="shared" si="58"/>
        <v>0</v>
      </c>
      <c r="T179" s="327">
        <f t="shared" si="58"/>
        <v>0</v>
      </c>
      <c r="U179" s="327">
        <f t="shared" si="58"/>
        <v>505.25339664000006</v>
      </c>
      <c r="V179" s="327">
        <f t="shared" si="58"/>
        <v>0</v>
      </c>
      <c r="W179" s="327">
        <f t="shared" si="58"/>
        <v>0</v>
      </c>
      <c r="X179" s="327">
        <f t="shared" si="58"/>
        <v>0</v>
      </c>
      <c r="Y179" s="327">
        <f t="shared" si="58"/>
        <v>0</v>
      </c>
      <c r="Z179" s="450">
        <f t="shared" si="58"/>
        <v>0</v>
      </c>
      <c r="AA179" s="327"/>
      <c r="AB179" s="327"/>
      <c r="AC179" s="451"/>
      <c r="AD179" s="451"/>
      <c r="AE179" s="451"/>
      <c r="AF179" s="452"/>
      <c r="AG179" s="452"/>
      <c r="AH179" s="288"/>
      <c r="AI179" s="288"/>
      <c r="AJ179" s="288"/>
      <c r="AK179" s="288"/>
      <c r="AL179" s="288"/>
      <c r="AM179" s="289">
        <f t="shared" si="56"/>
        <v>0</v>
      </c>
      <c r="AN179" s="290">
        <f t="shared" si="51"/>
        <v>0</v>
      </c>
      <c r="AO179" s="290"/>
      <c r="AP179" s="291">
        <f t="shared" si="57"/>
        <v>0</v>
      </c>
      <c r="AQ179" s="441">
        <f t="shared" si="52"/>
        <v>2526</v>
      </c>
      <c r="AR179" s="443">
        <f t="shared" si="54"/>
        <v>0</v>
      </c>
      <c r="AS179" s="395"/>
      <c r="AT179" s="302">
        <f>AD179+AE179+AF179+AH179+AM179</f>
        <v>0</v>
      </c>
      <c r="AU179" s="132">
        <f t="shared" si="43"/>
        <v>0</v>
      </c>
      <c r="AV179" s="257"/>
    </row>
    <row r="180" spans="1:61" s="239" customFormat="1" ht="12" customHeight="1">
      <c r="B180" s="350" t="s">
        <v>449</v>
      </c>
      <c r="C180" s="453"/>
      <c r="D180" s="453"/>
      <c r="E180" s="453"/>
      <c r="F180" s="453"/>
      <c r="G180" s="454"/>
      <c r="H180" s="454"/>
      <c r="I180" s="454"/>
      <c r="J180" s="454"/>
      <c r="K180" s="453"/>
      <c r="L180" s="455"/>
      <c r="M180" s="263"/>
      <c r="N180" s="173"/>
      <c r="O180" s="173"/>
      <c r="P180" s="173"/>
      <c r="Q180" s="264"/>
      <c r="R180" s="264"/>
      <c r="S180" s="264"/>
      <c r="T180" s="264"/>
      <c r="U180" s="265"/>
      <c r="V180" s="266"/>
      <c r="W180" s="264"/>
      <c r="X180" s="264"/>
      <c r="Y180" s="264"/>
      <c r="Z180" s="264"/>
      <c r="AA180" s="385"/>
      <c r="AB180" s="385"/>
      <c r="AC180" s="385"/>
      <c r="AD180" s="385"/>
      <c r="AE180" s="385"/>
      <c r="AF180" s="385"/>
      <c r="AG180" s="385"/>
      <c r="AH180" s="307"/>
      <c r="AI180" s="307"/>
      <c r="AJ180" s="307"/>
      <c r="AK180" s="307"/>
      <c r="AL180" s="307"/>
      <c r="AM180" s="300">
        <f t="shared" si="56"/>
        <v>0</v>
      </c>
      <c r="AN180" s="300">
        <f t="shared" si="51"/>
        <v>0</v>
      </c>
      <c r="AO180" s="300"/>
      <c r="AP180" s="456">
        <f t="shared" si="57"/>
        <v>0</v>
      </c>
      <c r="AQ180" s="385">
        <f t="shared" si="52"/>
        <v>0</v>
      </c>
      <c r="AR180" s="308">
        <f t="shared" si="54"/>
        <v>0</v>
      </c>
      <c r="AS180" s="395"/>
      <c r="AT180" s="316">
        <f>AD180+AE180+AF180+AH180+AM180</f>
        <v>0</v>
      </c>
      <c r="AU180" s="132">
        <f t="shared" si="43"/>
        <v>0</v>
      </c>
      <c r="AV180" s="257"/>
    </row>
    <row r="181" spans="1:61" s="457" customFormat="1" ht="15" customHeight="1">
      <c r="A181" s="239">
        <v>60</v>
      </c>
      <c r="B181" s="240" t="s">
        <v>450</v>
      </c>
      <c r="C181" s="258">
        <v>5</v>
      </c>
      <c r="D181" s="259">
        <v>3</v>
      </c>
      <c r="E181" s="259">
        <v>206</v>
      </c>
      <c r="F181" s="259">
        <v>1368</v>
      </c>
      <c r="G181" s="261">
        <f>E181*0.300304</f>
        <v>61.862624000000004</v>
      </c>
      <c r="H181" s="261">
        <f>F181*0.124048</f>
        <v>169.697664</v>
      </c>
      <c r="I181" s="261"/>
      <c r="J181" s="261"/>
      <c r="K181" s="259"/>
      <c r="L181" s="262">
        <f>SUM(G181:K181)</f>
        <v>231.56028800000001</v>
      </c>
      <c r="M181" s="263">
        <f>E188</f>
        <v>907</v>
      </c>
      <c r="N181" s="173">
        <f>E188/C188</f>
        <v>100.77777777777777</v>
      </c>
      <c r="O181" s="173">
        <f>N181*3</f>
        <v>302.33333333333331</v>
      </c>
      <c r="P181" s="173">
        <f>E188-O181</f>
        <v>604.66666666666674</v>
      </c>
      <c r="Q181" s="264"/>
      <c r="R181" s="264"/>
      <c r="S181" s="264"/>
      <c r="T181" s="264"/>
      <c r="U181" s="265">
        <f>1.0553*L188</f>
        <v>698.43321758240006</v>
      </c>
      <c r="V181" s="266"/>
      <c r="W181" s="264"/>
      <c r="X181" s="264"/>
      <c r="Y181" s="264"/>
      <c r="Z181" s="264"/>
      <c r="AA181" s="115">
        <v>2260</v>
      </c>
      <c r="AB181" s="267">
        <v>583</v>
      </c>
      <c r="AC181" s="267"/>
      <c r="AD181" s="556">
        <v>128</v>
      </c>
      <c r="AE181" s="556">
        <f>3.5*6.5*3</f>
        <v>68.25</v>
      </c>
      <c r="AF181" s="557">
        <f>3.5*53+1.7*11</f>
        <v>204.2</v>
      </c>
      <c r="AG181" s="557">
        <f>2*11</f>
        <v>22</v>
      </c>
      <c r="AH181" s="118">
        <f>7*53+6.5*16+10*3*2</f>
        <v>535</v>
      </c>
      <c r="AI181" s="118"/>
      <c r="AJ181" s="118"/>
      <c r="AK181" s="118"/>
      <c r="AL181" s="557">
        <f>6*60+4*11</f>
        <v>404</v>
      </c>
      <c r="AM181" s="116">
        <f t="shared" si="56"/>
        <v>741.55</v>
      </c>
      <c r="AN181" s="268">
        <f t="shared" si="51"/>
        <v>1677</v>
      </c>
      <c r="AO181" s="269">
        <f>AD181+AE181+AF181+AG181+AH181+AL181+AM181</f>
        <v>2103</v>
      </c>
      <c r="AP181" s="270">
        <f t="shared" si="57"/>
        <v>597.13499999999999</v>
      </c>
      <c r="AQ181" s="115">
        <f t="shared" si="52"/>
        <v>770.86500000000001</v>
      </c>
      <c r="AR181" s="303">
        <f t="shared" si="54"/>
        <v>82.74021986999999</v>
      </c>
      <c r="AS181" s="556">
        <f>AM181+AH181</f>
        <v>1276.55</v>
      </c>
      <c r="AT181" s="256">
        <f>AD181+AE181+AF181+AS181+AG181+AL181</f>
        <v>2103</v>
      </c>
      <c r="AU181" s="132">
        <f t="shared" si="43"/>
        <v>757.63499999999999</v>
      </c>
      <c r="AV181" s="257"/>
      <c r="AW181" s="239"/>
      <c r="AX181" s="239"/>
      <c r="AY181" s="239"/>
      <c r="AZ181" s="239"/>
      <c r="BA181" s="239"/>
      <c r="BB181" s="239"/>
      <c r="BC181" s="239"/>
      <c r="BD181" s="239"/>
      <c r="BE181" s="239"/>
      <c r="BF181" s="239"/>
      <c r="BG181" s="239"/>
      <c r="BH181" s="239"/>
      <c r="BI181" s="239"/>
    </row>
    <row r="182" spans="1:61" s="239" customFormat="1" ht="15" customHeight="1">
      <c r="A182" s="239">
        <v>60</v>
      </c>
      <c r="B182" s="240" t="s">
        <v>451</v>
      </c>
      <c r="C182" s="258">
        <v>5</v>
      </c>
      <c r="D182" s="259">
        <v>3</v>
      </c>
      <c r="E182" s="259">
        <v>193</v>
      </c>
      <c r="F182" s="259">
        <v>1560</v>
      </c>
      <c r="G182" s="261">
        <f>E182*0.300304</f>
        <v>57.958672</v>
      </c>
      <c r="H182" s="261">
        <f>F182*0.124048</f>
        <v>193.51488000000001</v>
      </c>
      <c r="I182" s="261"/>
      <c r="J182" s="261"/>
      <c r="K182" s="259"/>
      <c r="L182" s="262">
        <f>SUM(G182:K182)</f>
        <v>251.47355200000001</v>
      </c>
      <c r="M182" s="263">
        <f>E189</f>
        <v>279</v>
      </c>
      <c r="N182" s="173">
        <f>E189/C189</f>
        <v>55.8</v>
      </c>
      <c r="O182" s="173">
        <f>N182*3</f>
        <v>167.39999999999998</v>
      </c>
      <c r="P182" s="173">
        <f>E189-O182</f>
        <v>111.60000000000002</v>
      </c>
      <c r="Q182" s="264"/>
      <c r="R182" s="264"/>
      <c r="S182" s="264"/>
      <c r="T182" s="264"/>
      <c r="U182" s="265">
        <f>1.0553*L189</f>
        <v>397.69248968319994</v>
      </c>
      <c r="V182" s="266"/>
      <c r="W182" s="264"/>
      <c r="X182" s="264"/>
      <c r="Y182" s="264"/>
      <c r="Z182" s="264"/>
      <c r="AA182" s="115">
        <v>2600</v>
      </c>
      <c r="AB182" s="267">
        <v>583</v>
      </c>
      <c r="AC182" s="267"/>
      <c r="AD182" s="556">
        <v>128</v>
      </c>
      <c r="AE182" s="556">
        <f>3*7*3</f>
        <v>63</v>
      </c>
      <c r="AF182" s="557">
        <f>52*3.5+1.7*11</f>
        <v>200.7</v>
      </c>
      <c r="AG182" s="557"/>
      <c r="AH182" s="118">
        <f>6*7*2+16*6*2</f>
        <v>276</v>
      </c>
      <c r="AI182" s="118"/>
      <c r="AJ182" s="118"/>
      <c r="AK182" s="118"/>
      <c r="AL182" s="557">
        <f>6*60</f>
        <v>360</v>
      </c>
      <c r="AM182" s="116">
        <f t="shared" si="56"/>
        <v>1349.3</v>
      </c>
      <c r="AN182" s="268">
        <f t="shared" si="51"/>
        <v>2017</v>
      </c>
      <c r="AO182" s="269">
        <f>AD182+AE182+AF182+AG182+AH182+AL182+AM182</f>
        <v>2377</v>
      </c>
      <c r="AP182" s="270">
        <f t="shared" si="57"/>
        <v>747.81</v>
      </c>
      <c r="AQ182" s="115">
        <f t="shared" si="52"/>
        <v>812.19</v>
      </c>
      <c r="AR182" s="303">
        <f t="shared" si="54"/>
        <v>103.61804921999999</v>
      </c>
      <c r="AS182" s="556">
        <f>AM182+AH182</f>
        <v>1625.3</v>
      </c>
      <c r="AT182" s="256">
        <f>AD182+AE182+AF182+AS182+AG182+AL182</f>
        <v>2377</v>
      </c>
      <c r="AU182" s="132">
        <f t="shared" si="43"/>
        <v>830.6099999999999</v>
      </c>
      <c r="AV182" s="257"/>
    </row>
    <row r="183" spans="1:61" s="239" customFormat="1" thickBot="1">
      <c r="B183" s="424" t="s">
        <v>320</v>
      </c>
      <c r="C183" s="425"/>
      <c r="D183" s="425"/>
      <c r="E183" s="426">
        <f t="shared" ref="E183:L183" si="59">E181+E182</f>
        <v>399</v>
      </c>
      <c r="F183" s="426">
        <f t="shared" si="59"/>
        <v>2928</v>
      </c>
      <c r="G183" s="426">
        <f t="shared" si="59"/>
        <v>119.821296</v>
      </c>
      <c r="H183" s="427">
        <f t="shared" si="59"/>
        <v>363.21254399999998</v>
      </c>
      <c r="I183" s="427">
        <f t="shared" si="59"/>
        <v>0</v>
      </c>
      <c r="J183" s="426">
        <f t="shared" si="59"/>
        <v>0</v>
      </c>
      <c r="K183" s="426">
        <f t="shared" si="59"/>
        <v>0</v>
      </c>
      <c r="L183" s="428">
        <f t="shared" si="59"/>
        <v>483.03384000000005</v>
      </c>
      <c r="M183" s="458">
        <f t="shared" ref="M183:Z183" si="60">SUM(M176:M182)</f>
        <v>3878</v>
      </c>
      <c r="N183" s="426" t="e">
        <f t="shared" si="60"/>
        <v>#DIV/0!</v>
      </c>
      <c r="O183" s="426" t="e">
        <f t="shared" si="60"/>
        <v>#DIV/0!</v>
      </c>
      <c r="P183" s="426" t="e">
        <f t="shared" si="60"/>
        <v>#DIV/0!</v>
      </c>
      <c r="Q183" s="426">
        <f t="shared" si="60"/>
        <v>0</v>
      </c>
      <c r="R183" s="426">
        <f t="shared" si="60"/>
        <v>0</v>
      </c>
      <c r="S183" s="426">
        <f t="shared" si="60"/>
        <v>0</v>
      </c>
      <c r="T183" s="426">
        <f t="shared" si="60"/>
        <v>0</v>
      </c>
      <c r="U183" s="426">
        <f t="shared" si="60"/>
        <v>2106.6325005456001</v>
      </c>
      <c r="V183" s="426">
        <f t="shared" si="60"/>
        <v>0</v>
      </c>
      <c r="W183" s="426">
        <f t="shared" si="60"/>
        <v>0</v>
      </c>
      <c r="X183" s="426">
        <f t="shared" si="60"/>
        <v>0</v>
      </c>
      <c r="Y183" s="426">
        <f t="shared" si="60"/>
        <v>0</v>
      </c>
      <c r="Z183" s="459">
        <f t="shared" si="60"/>
        <v>0</v>
      </c>
      <c r="AA183" s="426"/>
      <c r="AB183" s="426"/>
      <c r="AC183" s="460"/>
      <c r="AD183" s="460"/>
      <c r="AE183" s="460"/>
      <c r="AF183" s="461"/>
      <c r="AG183" s="461"/>
      <c r="AH183" s="432"/>
      <c r="AI183" s="432"/>
      <c r="AJ183" s="432"/>
      <c r="AK183" s="432"/>
      <c r="AL183" s="432"/>
      <c r="AM183" s="433">
        <f t="shared" si="56"/>
        <v>0</v>
      </c>
      <c r="AN183" s="434">
        <f t="shared" si="51"/>
        <v>0</v>
      </c>
      <c r="AO183" s="434"/>
      <c r="AP183" s="435">
        <f t="shared" si="57"/>
        <v>0</v>
      </c>
      <c r="AQ183" s="429">
        <f t="shared" si="52"/>
        <v>2928</v>
      </c>
      <c r="AR183" s="322">
        <f t="shared" si="54"/>
        <v>0</v>
      </c>
      <c r="AS183" s="395"/>
      <c r="AT183" s="302">
        <f>AD183+AE183+AF183+AH183+AM183</f>
        <v>0</v>
      </c>
      <c r="AU183" s="132">
        <f t="shared" si="43"/>
        <v>0</v>
      </c>
      <c r="AV183" s="257"/>
    </row>
    <row r="184" spans="1:61" s="239" customFormat="1" ht="9" customHeight="1">
      <c r="B184" s="309" t="s">
        <v>452</v>
      </c>
      <c r="C184" s="242"/>
      <c r="D184" s="242"/>
      <c r="E184" s="242"/>
      <c r="F184" s="242"/>
      <c r="G184" s="243"/>
      <c r="H184" s="243"/>
      <c r="I184" s="243"/>
      <c r="J184" s="243"/>
      <c r="K184" s="242"/>
      <c r="L184" s="244"/>
      <c r="M184" s="245">
        <f>E190</f>
        <v>569</v>
      </c>
      <c r="N184" s="234">
        <f>E190/C190</f>
        <v>113.8</v>
      </c>
      <c r="O184" s="234">
        <f>N184*3</f>
        <v>341.4</v>
      </c>
      <c r="P184" s="234">
        <f>E190-O184</f>
        <v>227.60000000000002</v>
      </c>
      <c r="Q184" s="246"/>
      <c r="R184" s="246"/>
      <c r="S184" s="246"/>
      <c r="T184" s="246"/>
      <c r="U184" s="247">
        <f>1.052*L190</f>
        <v>816.59103123199998</v>
      </c>
      <c r="V184" s="248"/>
      <c r="W184" s="246"/>
      <c r="X184" s="246"/>
      <c r="Y184" s="246"/>
      <c r="Z184" s="246"/>
      <c r="AA184" s="249"/>
      <c r="AB184" s="249"/>
      <c r="AC184" s="249"/>
      <c r="AD184" s="249"/>
      <c r="AE184" s="249"/>
      <c r="AF184" s="249"/>
      <c r="AG184" s="249"/>
      <c r="AH184" s="436"/>
      <c r="AI184" s="436"/>
      <c r="AJ184" s="436"/>
      <c r="AK184" s="436"/>
      <c r="AL184" s="436"/>
      <c r="AM184" s="253">
        <f t="shared" si="56"/>
        <v>0</v>
      </c>
      <c r="AN184" s="253">
        <f t="shared" si="51"/>
        <v>0</v>
      </c>
      <c r="AO184" s="253"/>
      <c r="AP184" s="254">
        <f t="shared" si="57"/>
        <v>0</v>
      </c>
      <c r="AQ184" s="249">
        <f t="shared" si="52"/>
        <v>0</v>
      </c>
      <c r="AR184" s="437">
        <f t="shared" si="54"/>
        <v>0</v>
      </c>
      <c r="AS184" s="395"/>
      <c r="AT184" s="316">
        <f>AD184+AE184+AF184+AH184+AM184</f>
        <v>0</v>
      </c>
      <c r="AU184" s="132">
        <f t="shared" si="43"/>
        <v>0</v>
      </c>
      <c r="AV184" s="257"/>
    </row>
    <row r="185" spans="1:61" s="360" customFormat="1" ht="15" customHeight="1">
      <c r="A185" s="239">
        <v>99</v>
      </c>
      <c r="B185" s="240" t="s">
        <v>453</v>
      </c>
      <c r="C185" s="258">
        <v>9</v>
      </c>
      <c r="D185" s="259">
        <v>2</v>
      </c>
      <c r="E185" s="260">
        <v>947</v>
      </c>
      <c r="F185" s="260">
        <v>2136</v>
      </c>
      <c r="G185" s="261">
        <f>E185*0.300304</f>
        <v>284.38788800000003</v>
      </c>
      <c r="H185" s="261">
        <f>F185*0.124048</f>
        <v>264.96652800000004</v>
      </c>
      <c r="I185" s="261">
        <f>40.2*D185</f>
        <v>80.400000000000006</v>
      </c>
      <c r="J185" s="261">
        <f>1.95*D185</f>
        <v>3.9</v>
      </c>
      <c r="K185" s="259"/>
      <c r="L185" s="262">
        <f>SUM(G185:K185)</f>
        <v>633.65441600000008</v>
      </c>
      <c r="M185" s="263">
        <f>E192</f>
        <v>0</v>
      </c>
      <c r="N185" s="173" t="e">
        <f>E192/C192</f>
        <v>#DIV/0!</v>
      </c>
      <c r="O185" s="173" t="e">
        <f>N185*3</f>
        <v>#DIV/0!</v>
      </c>
      <c r="P185" s="173" t="e">
        <f>E192-O185</f>
        <v>#DIV/0!</v>
      </c>
      <c r="Q185" s="264"/>
      <c r="R185" s="264"/>
      <c r="S185" s="264"/>
      <c r="T185" s="264"/>
      <c r="U185" s="265">
        <f>L192*1.247</f>
        <v>0</v>
      </c>
      <c r="V185" s="266"/>
      <c r="W185" s="264"/>
      <c r="X185" s="264"/>
      <c r="Y185" s="264"/>
      <c r="Z185" s="264"/>
      <c r="AA185" s="115"/>
      <c r="AB185" s="267"/>
      <c r="AC185" s="267"/>
      <c r="AD185" s="556">
        <v>177</v>
      </c>
      <c r="AE185" s="556">
        <f>7*3.5*2</f>
        <v>49</v>
      </c>
      <c r="AF185" s="557">
        <f>50+68*2+68*4.5+18+8*21+6*2*4+19*5.5+15*5+27*2.3+2.5*37</f>
        <v>1060.0999999999999</v>
      </c>
      <c r="AG185" s="557"/>
      <c r="AH185" s="116">
        <f>14*2.5+18*2.5+32*6+14*5+16*4+5.5*31+27*2.5</f>
        <v>644</v>
      </c>
      <c r="AI185" s="116"/>
      <c r="AJ185" s="116"/>
      <c r="AK185" s="116"/>
      <c r="AL185" s="557">
        <f>30*50+2.3*19-50</f>
        <v>1493.7</v>
      </c>
      <c r="AM185" s="116">
        <f>16*19+20*10+13*27+4*19</f>
        <v>931</v>
      </c>
      <c r="AN185" s="268">
        <f t="shared" si="51"/>
        <v>0</v>
      </c>
      <c r="AO185" s="269">
        <f>AD185+AE185+AF185+AG185+AH185+AL185+AM185</f>
        <v>4354.8</v>
      </c>
      <c r="AP185" s="270">
        <f>(AM185+AL185+AH185)*0.3+(AG185+AF185+AE185+AD185)*0.6</f>
        <v>1692.27</v>
      </c>
      <c r="AQ185" s="115">
        <f t="shared" si="52"/>
        <v>443.73</v>
      </c>
      <c r="AR185" s="267"/>
      <c r="AS185" s="556">
        <f>AM185+AH185</f>
        <v>1575</v>
      </c>
      <c r="AT185" s="256">
        <f>AD185+AE185+AF185+AS185+AG185+AL185</f>
        <v>4354.8</v>
      </c>
      <c r="AU185" s="132">
        <f t="shared" si="43"/>
        <v>1692.27</v>
      </c>
      <c r="AV185" s="257"/>
      <c r="AW185" s="239"/>
      <c r="AX185" s="239"/>
      <c r="AY185" s="239"/>
      <c r="AZ185" s="239"/>
      <c r="BA185" s="239"/>
      <c r="BB185" s="239"/>
      <c r="BC185" s="239"/>
      <c r="BD185" s="239"/>
      <c r="BE185" s="239"/>
      <c r="BF185" s="239"/>
      <c r="BG185" s="239"/>
      <c r="BH185" s="239"/>
      <c r="BI185" s="239"/>
    </row>
    <row r="186" spans="1:61" s="239" customFormat="1" thickBot="1">
      <c r="B186" s="275" t="s">
        <v>320</v>
      </c>
      <c r="C186" s="391"/>
      <c r="D186" s="391"/>
      <c r="E186" s="327">
        <f t="shared" ref="E186:L186" si="61">SUM(E185:E185)</f>
        <v>947</v>
      </c>
      <c r="F186" s="327">
        <f t="shared" si="61"/>
        <v>2136</v>
      </c>
      <c r="G186" s="397">
        <f t="shared" si="61"/>
        <v>284.38788800000003</v>
      </c>
      <c r="H186" s="397">
        <f t="shared" si="61"/>
        <v>264.96652800000004</v>
      </c>
      <c r="I186" s="397">
        <f t="shared" si="61"/>
        <v>80.400000000000006</v>
      </c>
      <c r="J186" s="327">
        <f t="shared" si="61"/>
        <v>3.9</v>
      </c>
      <c r="K186" s="327">
        <f t="shared" si="61"/>
        <v>0</v>
      </c>
      <c r="L186" s="328">
        <f t="shared" si="61"/>
        <v>633.65441600000008</v>
      </c>
      <c r="M186" s="279">
        <f>E193</f>
        <v>746</v>
      </c>
      <c r="N186" s="281">
        <f>E193/C193</f>
        <v>82.888888888888886</v>
      </c>
      <c r="O186" s="281">
        <f>N186*3</f>
        <v>248.66666666666666</v>
      </c>
      <c r="P186" s="281">
        <f>E193-O186</f>
        <v>497.33333333333337</v>
      </c>
      <c r="Q186" s="292"/>
      <c r="R186" s="292"/>
      <c r="S186" s="292"/>
      <c r="T186" s="292"/>
      <c r="U186" s="283">
        <f>1.05*L193</f>
        <v>808.37722560000009</v>
      </c>
      <c r="V186" s="284"/>
      <c r="W186" s="292"/>
      <c r="X186" s="292"/>
      <c r="Y186" s="292"/>
      <c r="Z186" s="292"/>
      <c r="AA186" s="441"/>
      <c r="AB186" s="441"/>
      <c r="AC186" s="452"/>
      <c r="AD186" s="452"/>
      <c r="AE186" s="452"/>
      <c r="AF186" s="452"/>
      <c r="AG186" s="452"/>
      <c r="AH186" s="288"/>
      <c r="AI186" s="288"/>
      <c r="AJ186" s="288"/>
      <c r="AK186" s="288"/>
      <c r="AL186" s="288"/>
      <c r="AM186" s="288"/>
      <c r="AN186" s="442"/>
      <c r="AO186" s="442"/>
      <c r="AP186" s="462"/>
      <c r="AQ186" s="442"/>
      <c r="AR186" s="463"/>
      <c r="AS186" s="464"/>
      <c r="AT186" s="302">
        <f>AD186+AE186+AF186+AH186+AM186</f>
        <v>0</v>
      </c>
      <c r="AU186" s="132">
        <f t="shared" si="43"/>
        <v>0</v>
      </c>
      <c r="AV186" s="257"/>
    </row>
    <row r="187" spans="1:61" s="239" customFormat="1" ht="11.25" customHeight="1" thickBot="1">
      <c r="B187" s="465" t="s">
        <v>454</v>
      </c>
      <c r="C187" s="466"/>
      <c r="D187" s="466"/>
      <c r="E187" s="466"/>
      <c r="F187" s="466"/>
      <c r="G187" s="467"/>
      <c r="H187" s="467"/>
      <c r="I187" s="467"/>
      <c r="J187" s="467"/>
      <c r="K187" s="466"/>
      <c r="L187" s="468"/>
      <c r="M187" s="263">
        <f>E194</f>
        <v>415</v>
      </c>
      <c r="N187" s="173">
        <f>E194/C194</f>
        <v>83</v>
      </c>
      <c r="O187" s="173">
        <f>N187*3</f>
        <v>249</v>
      </c>
      <c r="P187" s="173">
        <f>E194-O187</f>
        <v>166</v>
      </c>
      <c r="Q187" s="264"/>
      <c r="R187" s="264"/>
      <c r="S187" s="264"/>
      <c r="T187" s="264"/>
      <c r="U187" s="265">
        <f>1.05*L194</f>
        <v>323.10705840000003</v>
      </c>
      <c r="V187" s="266"/>
      <c r="W187" s="264"/>
      <c r="X187" s="264"/>
      <c r="Y187" s="264"/>
      <c r="Z187" s="264"/>
      <c r="AA187" s="430"/>
      <c r="AB187" s="430"/>
      <c r="AC187" s="430"/>
      <c r="AD187" s="430"/>
      <c r="AE187" s="430"/>
      <c r="AF187" s="430"/>
      <c r="AG187" s="430"/>
      <c r="AH187" s="432"/>
      <c r="AI187" s="432"/>
      <c r="AJ187" s="432"/>
      <c r="AK187" s="432"/>
      <c r="AL187" s="432"/>
      <c r="AM187" s="432"/>
      <c r="AN187" s="432"/>
      <c r="AO187" s="432"/>
      <c r="AP187" s="469"/>
      <c r="AQ187" s="432"/>
      <c r="AR187" s="464"/>
      <c r="AS187" s="464"/>
      <c r="AT187" s="316">
        <f>AD187+AE187+AF187+AH187+AM187</f>
        <v>0</v>
      </c>
      <c r="AU187" s="132">
        <f t="shared" si="43"/>
        <v>0</v>
      </c>
      <c r="AV187" s="257"/>
    </row>
    <row r="188" spans="1:61" s="239" customFormat="1" ht="15" customHeight="1">
      <c r="A188" s="239">
        <v>90</v>
      </c>
      <c r="B188" s="240" t="s">
        <v>455</v>
      </c>
      <c r="C188" s="241">
        <v>9</v>
      </c>
      <c r="D188" s="242">
        <v>2</v>
      </c>
      <c r="E188" s="318">
        <v>907</v>
      </c>
      <c r="F188" s="318">
        <v>2460</v>
      </c>
      <c r="G188" s="243">
        <f>E188*0.300304</f>
        <v>272.37572800000004</v>
      </c>
      <c r="H188" s="243">
        <f>F188*0.124048</f>
        <v>305.15808000000004</v>
      </c>
      <c r="I188" s="243">
        <f>40.2*D188</f>
        <v>80.400000000000006</v>
      </c>
      <c r="J188" s="243">
        <f>1.95*D188</f>
        <v>3.9</v>
      </c>
      <c r="K188" s="242"/>
      <c r="L188" s="244">
        <f>SUM(G188:K188)</f>
        <v>661.83380800000009</v>
      </c>
      <c r="M188" s="245"/>
      <c r="N188" s="246"/>
      <c r="O188" s="234"/>
      <c r="P188" s="234"/>
      <c r="Q188" s="246"/>
      <c r="R188" s="246"/>
      <c r="S188" s="255">
        <f>T188-L195</f>
        <v>42.460054400000047</v>
      </c>
      <c r="T188" s="255">
        <f>L195*1.1</f>
        <v>467.06059840000006</v>
      </c>
      <c r="U188" s="247">
        <f>L195*1.247</f>
        <v>529.47687836800003</v>
      </c>
      <c r="V188" s="248">
        <f>U188/L195</f>
        <v>1.2470000000000001</v>
      </c>
      <c r="W188" s="246"/>
      <c r="X188" s="246"/>
      <c r="Y188" s="246"/>
      <c r="Z188" s="246"/>
      <c r="AA188" s="249"/>
      <c r="AB188" s="250"/>
      <c r="AC188" s="251"/>
      <c r="AD188" s="556">
        <v>173</v>
      </c>
      <c r="AE188" s="556">
        <f>3*2*2+8*4*2</f>
        <v>76</v>
      </c>
      <c r="AF188" s="557">
        <f>19*5.5+2*30+68*6+68*2+8*4+20*1.5*2+2.3+32</f>
        <v>834.8</v>
      </c>
      <c r="AG188" s="557"/>
      <c r="AH188" s="116">
        <f>4.3*26+17*4.3+1.5*24+15*5+26*6+19*5</f>
        <v>546.9</v>
      </c>
      <c r="AI188" s="116"/>
      <c r="AJ188" s="116"/>
      <c r="AK188" s="116"/>
      <c r="AL188" s="557"/>
      <c r="AM188" s="116">
        <f>39*42+25*68-8*4-20*1.5*2-2.3+150</f>
        <v>3393.7</v>
      </c>
      <c r="AN188" s="252">
        <f>AA188-AB188</f>
        <v>0</v>
      </c>
      <c r="AO188" s="269">
        <f>AD188+AE188+AF188+AG188+AH188+AL188+AM188</f>
        <v>5024.3999999999996</v>
      </c>
      <c r="AP188" s="254">
        <f>(AM188+AL188+AH188)*0.3+(AG188+AF188+AE188+AD188)*0.6</f>
        <v>1832.4599999999998</v>
      </c>
      <c r="AQ188" s="470">
        <f t="shared" ref="AQ188:AQ205" si="62">F188-AP188</f>
        <v>627.54000000000019</v>
      </c>
      <c r="AR188" s="471"/>
      <c r="AS188" s="556">
        <f>AM188+AH188</f>
        <v>3940.6</v>
      </c>
      <c r="AT188" s="256">
        <f>AD188+AE188+AF188+AS188+AG188+AL188</f>
        <v>5024.3999999999996</v>
      </c>
      <c r="AU188" s="132">
        <f t="shared" si="43"/>
        <v>1832.4599999999998</v>
      </c>
      <c r="AV188" s="257"/>
    </row>
    <row r="189" spans="1:61" s="239" customFormat="1" ht="15" customHeight="1">
      <c r="A189" s="239">
        <v>60</v>
      </c>
      <c r="B189" s="240" t="s">
        <v>456</v>
      </c>
      <c r="C189" s="258">
        <v>5</v>
      </c>
      <c r="D189" s="259">
        <v>4</v>
      </c>
      <c r="E189" s="259">
        <v>279</v>
      </c>
      <c r="F189" s="259">
        <v>2161</v>
      </c>
      <c r="G189" s="261">
        <f>E189*0.300304</f>
        <v>83.784816000000006</v>
      </c>
      <c r="H189" s="261">
        <f>F189*0.124048</f>
        <v>268.06772799999999</v>
      </c>
      <c r="I189" s="259"/>
      <c r="J189" s="259"/>
      <c r="K189" s="259">
        <v>25</v>
      </c>
      <c r="L189" s="262">
        <f>SUM(G189:K189)</f>
        <v>376.85254399999997</v>
      </c>
      <c r="M189" s="263"/>
      <c r="N189" s="264"/>
      <c r="O189" s="173"/>
      <c r="P189" s="173"/>
      <c r="Q189" s="264"/>
      <c r="R189" s="264"/>
      <c r="S189" s="271">
        <f>T189-L196</f>
        <v>23.383198399999998</v>
      </c>
      <c r="T189" s="271">
        <f>L196*1.1</f>
        <v>257.2151824</v>
      </c>
      <c r="U189" s="265">
        <v>1323.39</v>
      </c>
      <c r="V189" s="266">
        <f>U189/L196</f>
        <v>5.6595764931798209</v>
      </c>
      <c r="W189" s="264"/>
      <c r="X189" s="264"/>
      <c r="Y189" s="264"/>
      <c r="Z189" s="264"/>
      <c r="AA189" s="115"/>
      <c r="AB189" s="267"/>
      <c r="AC189" s="267"/>
      <c r="AD189" s="556">
        <v>138</v>
      </c>
      <c r="AE189" s="556">
        <f>2.5*3.5*4</f>
        <v>35</v>
      </c>
      <c r="AF189" s="557">
        <f>6*36+40+56*1.5+3*56+3*56</f>
        <v>676</v>
      </c>
      <c r="AG189" s="557"/>
      <c r="AH189" s="118">
        <f>10*3*4</f>
        <v>120</v>
      </c>
      <c r="AI189" s="118"/>
      <c r="AJ189" s="118"/>
      <c r="AK189" s="118"/>
      <c r="AL189" s="557"/>
      <c r="AM189" s="116">
        <f>9*36-40+56*14+10*16*2+44*40/2-3*20*2</f>
        <v>2148</v>
      </c>
      <c r="AN189" s="268">
        <f>AA189-AB189</f>
        <v>0</v>
      </c>
      <c r="AO189" s="269">
        <f>AD189+AE189+AF189+AG189+AH189+AL189+AM189</f>
        <v>3117</v>
      </c>
      <c r="AP189" s="270">
        <f>(AM189+AL189+AH189)*0.3+(AG189+AF189+AE189+AD189)*0.6</f>
        <v>1189.8</v>
      </c>
      <c r="AQ189" s="472">
        <f t="shared" si="62"/>
        <v>971.2</v>
      </c>
      <c r="AR189" s="471"/>
      <c r="AS189" s="556">
        <f>AM189+AH189</f>
        <v>2268</v>
      </c>
      <c r="AT189" s="256">
        <f>AD189+AE189+AF189+AS189+AG189+AL189</f>
        <v>3117</v>
      </c>
      <c r="AU189" s="132">
        <f t="shared" si="43"/>
        <v>1189.8</v>
      </c>
      <c r="AV189" s="257"/>
    </row>
    <row r="190" spans="1:61" s="239" customFormat="1" ht="15" customHeight="1">
      <c r="A190" s="239">
        <v>119</v>
      </c>
      <c r="B190" s="240" t="s">
        <v>457</v>
      </c>
      <c r="C190" s="258">
        <v>5</v>
      </c>
      <c r="D190" s="259">
        <v>8</v>
      </c>
      <c r="E190" s="259">
        <v>569</v>
      </c>
      <c r="F190" s="259">
        <v>4880</v>
      </c>
      <c r="G190" s="261">
        <f>E190*0.300304</f>
        <v>170.87297600000002</v>
      </c>
      <c r="H190" s="261">
        <f>F190*0.124048</f>
        <v>605.35424</v>
      </c>
      <c r="I190" s="259"/>
      <c r="J190" s="259"/>
      <c r="K190" s="259"/>
      <c r="L190" s="262">
        <f>SUM(G190:K190)</f>
        <v>776.227216</v>
      </c>
      <c r="M190" s="263">
        <f>E197</f>
        <v>1788</v>
      </c>
      <c r="N190" s="264"/>
      <c r="O190" s="173"/>
      <c r="P190" s="173"/>
      <c r="Q190" s="264"/>
      <c r="R190" s="264"/>
      <c r="S190" s="264"/>
      <c r="T190" s="264"/>
      <c r="U190" s="265"/>
      <c r="V190" s="266"/>
      <c r="W190" s="264"/>
      <c r="X190" s="264"/>
      <c r="Y190" s="264"/>
      <c r="Z190" s="264"/>
      <c r="AA190" s="115"/>
      <c r="AB190" s="267"/>
      <c r="AC190" s="267"/>
      <c r="AD190" s="556">
        <v>266</v>
      </c>
      <c r="AE190" s="556">
        <f>2.5*3.5*8</f>
        <v>70</v>
      </c>
      <c r="AF190" s="557">
        <f>1.5*6+1.5*10+4*122+4*3+1.5*10</f>
        <v>539</v>
      </c>
      <c r="AG190" s="557"/>
      <c r="AH190" s="118">
        <f>8*3+10*3*8+20</f>
        <v>284</v>
      </c>
      <c r="AI190" s="118"/>
      <c r="AJ190" s="118"/>
      <c r="AK190" s="118"/>
      <c r="AL190" s="557"/>
      <c r="AM190" s="116">
        <f>12*122+10*6+18*122+3*12</f>
        <v>3756</v>
      </c>
      <c r="AN190" s="268">
        <f>AA190-AB190</f>
        <v>0</v>
      </c>
      <c r="AO190" s="269">
        <f>AD190+AE190+AF190+AG190+AH190+AL190+AM190</f>
        <v>4915</v>
      </c>
      <c r="AP190" s="270">
        <f>(AM190+AL190+AH190)*0.3+(AG190+AF190+AE190+AD190)*0.6</f>
        <v>1737</v>
      </c>
      <c r="AQ190" s="472">
        <f t="shared" si="62"/>
        <v>3143</v>
      </c>
      <c r="AR190" s="471"/>
      <c r="AS190" s="556">
        <f>AM190+AH190</f>
        <v>4040</v>
      </c>
      <c r="AT190" s="256">
        <f>AD190+AE190+AF190+AS190+AG190+AL190</f>
        <v>4915</v>
      </c>
      <c r="AU190" s="132">
        <f t="shared" si="43"/>
        <v>1737</v>
      </c>
      <c r="AV190" s="257"/>
    </row>
    <row r="191" spans="1:61" s="239" customFormat="1" thickBot="1">
      <c r="B191" s="275" t="s">
        <v>320</v>
      </c>
      <c r="C191" s="391"/>
      <c r="D191" s="391"/>
      <c r="E191" s="327">
        <f t="shared" ref="E191:L191" si="63">SUM(E188:E190)</f>
        <v>1755</v>
      </c>
      <c r="F191" s="327">
        <f t="shared" si="63"/>
        <v>9501</v>
      </c>
      <c r="G191" s="327">
        <f t="shared" si="63"/>
        <v>527.03352000000007</v>
      </c>
      <c r="H191" s="327">
        <f t="shared" si="63"/>
        <v>1178.580048</v>
      </c>
      <c r="I191" s="327">
        <f t="shared" si="63"/>
        <v>80.400000000000006</v>
      </c>
      <c r="J191" s="327">
        <f t="shared" si="63"/>
        <v>3.9</v>
      </c>
      <c r="K191" s="327">
        <f t="shared" si="63"/>
        <v>25</v>
      </c>
      <c r="L191" s="328">
        <f t="shared" si="63"/>
        <v>1814.9135680000002</v>
      </c>
      <c r="M191" s="279">
        <f>E198</f>
        <v>0</v>
      </c>
      <c r="N191" s="292"/>
      <c r="O191" s="281"/>
      <c r="P191" s="281"/>
      <c r="Q191" s="292"/>
      <c r="R191" s="292"/>
      <c r="S191" s="292"/>
      <c r="T191" s="292"/>
      <c r="U191" s="283"/>
      <c r="V191" s="284"/>
      <c r="W191" s="292"/>
      <c r="X191" s="292"/>
      <c r="Y191" s="292"/>
      <c r="Z191" s="292"/>
      <c r="AA191" s="441"/>
      <c r="AB191" s="441"/>
      <c r="AC191" s="452"/>
      <c r="AD191" s="452"/>
      <c r="AE191" s="452"/>
      <c r="AF191" s="473"/>
      <c r="AG191" s="473"/>
      <c r="AH191" s="289"/>
      <c r="AI191" s="289"/>
      <c r="AJ191" s="289"/>
      <c r="AK191" s="289"/>
      <c r="AL191" s="288"/>
      <c r="AM191" s="289">
        <f>AA191-AB191-AD191-AE191-AF191-AH191</f>
        <v>0</v>
      </c>
      <c r="AN191" s="290">
        <f>AA191-AB191</f>
        <v>0</v>
      </c>
      <c r="AO191" s="269">
        <f>AD191+AE191+AF191+AG191+AH191+AL191+AM191</f>
        <v>0</v>
      </c>
      <c r="AP191" s="291">
        <f>(AM191+AL191)*0.3+(AG191+AF191+AE191+AD191)*0.6</f>
        <v>0</v>
      </c>
      <c r="AQ191" s="474">
        <f t="shared" si="62"/>
        <v>9501</v>
      </c>
      <c r="AR191" s="475">
        <f>AP191*0.138562</f>
        <v>0</v>
      </c>
      <c r="AS191" s="476"/>
      <c r="AT191" s="302">
        <f>AD191+AE191+AF191+AH191+AM191</f>
        <v>0</v>
      </c>
      <c r="AU191" s="132">
        <f t="shared" si="43"/>
        <v>0</v>
      </c>
      <c r="AV191" s="257"/>
    </row>
    <row r="192" spans="1:61" s="239" customFormat="1" ht="13.5" customHeight="1">
      <c r="B192" s="309" t="s">
        <v>458</v>
      </c>
      <c r="C192" s="242"/>
      <c r="D192" s="242"/>
      <c r="E192" s="242"/>
      <c r="F192" s="242"/>
      <c r="G192" s="243"/>
      <c r="H192" s="243"/>
      <c r="I192" s="243"/>
      <c r="J192" s="243"/>
      <c r="K192" s="242"/>
      <c r="L192" s="244"/>
      <c r="M192" s="245">
        <f>E199</f>
        <v>450</v>
      </c>
      <c r="N192" s="234">
        <f>E199/C199</f>
        <v>90</v>
      </c>
      <c r="O192" s="234">
        <f>N192*3</f>
        <v>270</v>
      </c>
      <c r="P192" s="234">
        <f>E199-O192</f>
        <v>180</v>
      </c>
      <c r="Q192" s="246"/>
      <c r="R192" s="246"/>
      <c r="S192" s="246"/>
      <c r="T192" s="246"/>
      <c r="U192" s="247">
        <f>1.071*L199</f>
        <v>437.01341039999994</v>
      </c>
      <c r="V192" s="248"/>
      <c r="W192" s="246"/>
      <c r="X192" s="246"/>
      <c r="Y192" s="246"/>
      <c r="Z192" s="246"/>
      <c r="AA192" s="249"/>
      <c r="AB192" s="249"/>
      <c r="AC192" s="249"/>
      <c r="AD192" s="249"/>
      <c r="AE192" s="249"/>
      <c r="AF192" s="249"/>
      <c r="AG192" s="249"/>
      <c r="AH192" s="436"/>
      <c r="AI192" s="436"/>
      <c r="AJ192" s="436"/>
      <c r="AK192" s="436"/>
      <c r="AL192" s="436"/>
      <c r="AM192" s="436"/>
      <c r="AN192" s="436"/>
      <c r="AO192" s="436"/>
      <c r="AP192" s="477"/>
      <c r="AQ192" s="470">
        <f t="shared" si="62"/>
        <v>0</v>
      </c>
      <c r="AR192" s="475">
        <f>AP192*0.138562</f>
        <v>0</v>
      </c>
      <c r="AS192" s="478"/>
      <c r="AT192" s="316">
        <f>AD192+AE192+AF192+AH192+AM192</f>
        <v>0</v>
      </c>
      <c r="AU192" s="132">
        <f t="shared" si="43"/>
        <v>0</v>
      </c>
      <c r="AV192" s="257"/>
    </row>
    <row r="193" spans="1:61" s="239" customFormat="1" ht="15" customHeight="1">
      <c r="A193" s="479">
        <f>287/2</f>
        <v>143.5</v>
      </c>
      <c r="B193" s="240" t="s">
        <v>459</v>
      </c>
      <c r="C193" s="480" t="s">
        <v>336</v>
      </c>
      <c r="D193" s="481" t="s">
        <v>45</v>
      </c>
      <c r="E193" s="481">
        <v>746</v>
      </c>
      <c r="F193" s="481">
        <v>3381</v>
      </c>
      <c r="G193" s="482">
        <f>E193*0.300304</f>
        <v>224.02678400000002</v>
      </c>
      <c r="H193" s="482">
        <f>F193*0.124048</f>
        <v>419.40628800000002</v>
      </c>
      <c r="I193" s="482">
        <f>40.2*D193</f>
        <v>120.60000000000001</v>
      </c>
      <c r="J193" s="482">
        <f>1.95*D193</f>
        <v>5.85</v>
      </c>
      <c r="K193" s="481"/>
      <c r="L193" s="483">
        <f>SUM(G193:K193)</f>
        <v>769.88307200000008</v>
      </c>
      <c r="M193" s="484">
        <f>E210</f>
        <v>905</v>
      </c>
      <c r="N193" s="485"/>
      <c r="O193" s="486"/>
      <c r="P193" s="486"/>
      <c r="Q193" s="485"/>
      <c r="R193" s="485"/>
      <c r="S193" s="485"/>
      <c r="T193" s="485"/>
      <c r="U193" s="487"/>
      <c r="V193" s="488"/>
      <c r="W193" s="485"/>
      <c r="X193" s="485"/>
      <c r="Y193" s="485"/>
      <c r="Z193" s="485"/>
      <c r="AA193" s="371">
        <f>(40*22/2+40*55+32*13+125*160/2-120*15-60*70/2)/8*3</f>
        <v>3433.5</v>
      </c>
      <c r="AB193" s="372">
        <f>13*55</f>
        <v>715</v>
      </c>
      <c r="AC193" s="372"/>
      <c r="AD193" s="121">
        <f>397/8*3</f>
        <v>148.875</v>
      </c>
      <c r="AE193" s="121">
        <f>(5.5*7*8+6*16.5+7*3*2)/8*3</f>
        <v>168.375</v>
      </c>
      <c r="AF193" s="122">
        <f>(4*140+19*5.5/2+4*(21+6)+50*3.5)/8*3</f>
        <v>335.71875</v>
      </c>
      <c r="AG193" s="122"/>
      <c r="AH193" s="118">
        <f>(17.5*5+15*5.5*2+16*5.5*2+30*5.5+32*5.5+14*5.5)/8*3</f>
        <v>317.4375</v>
      </c>
      <c r="AI193" s="118"/>
      <c r="AJ193" s="118"/>
      <c r="AK193" s="118"/>
      <c r="AL193" s="122"/>
      <c r="AM193" s="116">
        <f>(18*55+88*10+18*21+(17*2+1)*7+18*68+32*24+16*12+13*8+9*62)/8*3</f>
        <v>2002.125</v>
      </c>
      <c r="AN193" s="373">
        <f t="shared" ref="AN193:AN207" si="64">AA193-AB193</f>
        <v>2718.5</v>
      </c>
      <c r="AO193" s="374">
        <f t="shared" ref="AO193:AO208" si="65">AD193+AE193+AF193+AG193+AH193+AL193+AM193</f>
        <v>2972.53125</v>
      </c>
      <c r="AP193" s="375">
        <f>(AM193+AL193)*0.3+(AG193+AF193+AE193+AD193)*0.6</f>
        <v>992.41874999999993</v>
      </c>
      <c r="AQ193" s="489">
        <f t="shared" si="62"/>
        <v>2388.5812500000002</v>
      </c>
      <c r="AR193" s="490">
        <f>AP193*0.138562</f>
        <v>137.51152683749999</v>
      </c>
      <c r="AS193" s="121">
        <f>AM193+AH193</f>
        <v>2319.5625</v>
      </c>
      <c r="AT193" s="256">
        <f>AD193+AE193+AF193+AS193+AG193+AL193</f>
        <v>2972.53125</v>
      </c>
      <c r="AU193" s="132">
        <f t="shared" si="43"/>
        <v>1087.6500000000001</v>
      </c>
      <c r="AV193" s="257"/>
    </row>
    <row r="194" spans="1:61" s="239" customFormat="1" ht="15" customHeight="1">
      <c r="A194" s="127">
        <v>90</v>
      </c>
      <c r="B194" s="240" t="s">
        <v>460</v>
      </c>
      <c r="C194" s="258" t="s">
        <v>56</v>
      </c>
      <c r="D194" s="259" t="s">
        <v>55</v>
      </c>
      <c r="E194" s="259">
        <v>415</v>
      </c>
      <c r="F194" s="259">
        <v>1476</v>
      </c>
      <c r="G194" s="261">
        <f>E194*0.300304</f>
        <v>124.62616000000001</v>
      </c>
      <c r="H194" s="261">
        <f>F194*0.124048</f>
        <v>183.09484800000001</v>
      </c>
      <c r="I194" s="261"/>
      <c r="J194" s="261"/>
      <c r="K194" s="259"/>
      <c r="L194" s="262">
        <f>SUM(G194:K194)</f>
        <v>307.72100800000004</v>
      </c>
      <c r="M194" s="173"/>
      <c r="N194" s="173"/>
      <c r="O194" s="173"/>
      <c r="P194" s="173"/>
      <c r="Q194" s="174"/>
      <c r="R194" s="174"/>
      <c r="S194" s="174"/>
      <c r="T194" s="174"/>
      <c r="U194" s="175"/>
      <c r="V194" s="176"/>
      <c r="W194" s="174"/>
      <c r="X194" s="174"/>
      <c r="Y194" s="174"/>
      <c r="Z194" s="174"/>
      <c r="AA194" s="312">
        <v>3240</v>
      </c>
      <c r="AB194" s="357">
        <v>1164</v>
      </c>
      <c r="AC194" s="357"/>
      <c r="AD194" s="558">
        <v>223</v>
      </c>
      <c r="AE194" s="558">
        <f>4*3*2+4*2.5</f>
        <v>34</v>
      </c>
      <c r="AF194" s="559">
        <f>114*5</f>
        <v>570</v>
      </c>
      <c r="AG194" s="559"/>
      <c r="AH194" s="324">
        <f>11*2*3+10*2.5+2*12*3</f>
        <v>163</v>
      </c>
      <c r="AI194" s="324"/>
      <c r="AJ194" s="324"/>
      <c r="AK194" s="324"/>
      <c r="AL194" s="559">
        <f>10*20+8.5*20</f>
        <v>370</v>
      </c>
      <c r="AM194" s="116">
        <f>AA194-AB194-AD194-AE194-AF194-AH194</f>
        <v>1086</v>
      </c>
      <c r="AN194" s="268">
        <f t="shared" si="64"/>
        <v>2076</v>
      </c>
      <c r="AO194" s="269">
        <f t="shared" si="65"/>
        <v>2446</v>
      </c>
      <c r="AP194" s="270">
        <f>(AM194+AL194)*0.3+(AG194+AF194+AE194+AD194)*0.6</f>
        <v>933</v>
      </c>
      <c r="AQ194" s="472">
        <f t="shared" si="62"/>
        <v>543</v>
      </c>
      <c r="AR194" s="475">
        <f>AP194*0.138562</f>
        <v>129.278346</v>
      </c>
      <c r="AS194" s="556">
        <f>AM194+AH194</f>
        <v>1249</v>
      </c>
      <c r="AT194" s="256">
        <f>AD194+AE194+AF194+AS194+AG194+AL194</f>
        <v>2446</v>
      </c>
      <c r="AU194" s="132">
        <f t="shared" si="43"/>
        <v>981.9</v>
      </c>
      <c r="AV194" s="257"/>
    </row>
    <row r="195" spans="1:61" s="378" customFormat="1" ht="15" customHeight="1">
      <c r="A195" s="127">
        <v>90</v>
      </c>
      <c r="B195" s="396" t="s">
        <v>461</v>
      </c>
      <c r="C195" s="258" t="s">
        <v>56</v>
      </c>
      <c r="D195" s="259" t="s">
        <v>55</v>
      </c>
      <c r="E195" s="259">
        <v>406</v>
      </c>
      <c r="F195" s="259">
        <v>2440</v>
      </c>
      <c r="G195" s="261">
        <f>E195*0.300304</f>
        <v>121.92342400000001</v>
      </c>
      <c r="H195" s="261">
        <f>F195*0.124048</f>
        <v>302.67712</v>
      </c>
      <c r="I195" s="261"/>
      <c r="J195" s="261"/>
      <c r="K195" s="259"/>
      <c r="L195" s="262">
        <f>SUM(G195:K195)</f>
        <v>424.60054400000001</v>
      </c>
      <c r="M195" s="356"/>
      <c r="N195" s="173"/>
      <c r="O195" s="173"/>
      <c r="P195" s="173"/>
      <c r="Q195" s="174"/>
      <c r="R195" s="174"/>
      <c r="S195" s="174"/>
      <c r="T195" s="174"/>
      <c r="U195" s="175"/>
      <c r="V195" s="176"/>
      <c r="W195" s="174"/>
      <c r="X195" s="174"/>
      <c r="Y195" s="174"/>
      <c r="Z195" s="174"/>
      <c r="AA195" s="312">
        <v>3667.32</v>
      </c>
      <c r="AB195" s="357">
        <v>1104</v>
      </c>
      <c r="AC195" s="357"/>
      <c r="AD195" s="558">
        <v>208</v>
      </c>
      <c r="AE195" s="558">
        <f>6*3*4</f>
        <v>72</v>
      </c>
      <c r="AF195" s="559">
        <f>1.5*15+95*3+12</f>
        <v>319.5</v>
      </c>
      <c r="AG195" s="559"/>
      <c r="AH195" s="324">
        <f>11.5*4.5*5</f>
        <v>258.75</v>
      </c>
      <c r="AI195" s="324"/>
      <c r="AJ195" s="324"/>
      <c r="AK195" s="324"/>
      <c r="AL195" s="559">
        <f>4*115+6*115</f>
        <v>1150</v>
      </c>
      <c r="AM195" s="116">
        <f>AA195-AB195-AD195-AE195-AF195-AH195</f>
        <v>1705.0700000000002</v>
      </c>
      <c r="AN195" s="268">
        <f t="shared" si="64"/>
        <v>2563.3200000000002</v>
      </c>
      <c r="AO195" s="269">
        <f t="shared" si="65"/>
        <v>3713.32</v>
      </c>
      <c r="AP195" s="270">
        <f>(AM195+AL195)*0.3+(AG195+AF195+AE195+AD195)*0.6</f>
        <v>1216.221</v>
      </c>
      <c r="AQ195" s="472">
        <f t="shared" si="62"/>
        <v>1223.779</v>
      </c>
      <c r="AR195" s="475">
        <f>AP195*0.138562</f>
        <v>168.52201420199998</v>
      </c>
      <c r="AS195" s="556">
        <f>AM195+AH195</f>
        <v>1963.8200000000002</v>
      </c>
      <c r="AT195" s="256">
        <f>AD195+AE195+AF195+AS195+AG195+AL195</f>
        <v>3713.32</v>
      </c>
      <c r="AU195" s="132">
        <f t="shared" si="43"/>
        <v>1293.846</v>
      </c>
      <c r="AV195" s="257"/>
      <c r="AW195" s="239"/>
      <c r="AX195" s="239"/>
      <c r="AY195" s="239"/>
      <c r="AZ195" s="239"/>
      <c r="BA195" s="239"/>
      <c r="BB195" s="239"/>
      <c r="BC195" s="239"/>
      <c r="BD195" s="239"/>
      <c r="BE195" s="239"/>
      <c r="BF195" s="239"/>
      <c r="BG195" s="239"/>
      <c r="BH195" s="239"/>
      <c r="BI195" s="239"/>
    </row>
    <row r="196" spans="1:61" s="239" customFormat="1" ht="15" customHeight="1" thickBot="1">
      <c r="A196" s="135">
        <v>60</v>
      </c>
      <c r="B196" s="240" t="s">
        <v>462</v>
      </c>
      <c r="C196" s="392">
        <v>5</v>
      </c>
      <c r="D196" s="326">
        <v>4</v>
      </c>
      <c r="E196" s="326">
        <v>221</v>
      </c>
      <c r="F196" s="326">
        <v>1350</v>
      </c>
      <c r="G196" s="393">
        <f>E196*0.300304</f>
        <v>66.367184000000009</v>
      </c>
      <c r="H196" s="393">
        <f>F196*0.124048</f>
        <v>167.4648</v>
      </c>
      <c r="I196" s="277"/>
      <c r="J196" s="277"/>
      <c r="K196" s="276"/>
      <c r="L196" s="394">
        <f>G196+H196+I196+J196+K196</f>
        <v>233.83198400000001</v>
      </c>
      <c r="M196" s="279">
        <f>E196</f>
        <v>221</v>
      </c>
      <c r="N196" s="281">
        <f>E196/C196</f>
        <v>44.2</v>
      </c>
      <c r="O196" s="281">
        <f>N196*3</f>
        <v>132.60000000000002</v>
      </c>
      <c r="P196" s="281">
        <f>E196-O196</f>
        <v>88.399999999999977</v>
      </c>
      <c r="Q196" s="282"/>
      <c r="R196" s="282"/>
      <c r="S196" s="282"/>
      <c r="T196" s="282"/>
      <c r="U196" s="283">
        <f>1.067*L196</f>
        <v>249.498726928</v>
      </c>
      <c r="V196" s="284"/>
      <c r="W196" s="282"/>
      <c r="X196" s="282"/>
      <c r="Y196" s="282"/>
      <c r="Z196" s="282"/>
      <c r="AA196" s="285"/>
      <c r="AB196" s="443"/>
      <c r="AC196" s="322"/>
      <c r="AD196" s="556">
        <f>(12+57)*2</f>
        <v>138</v>
      </c>
      <c r="AE196" s="556">
        <f>6*6*4</f>
        <v>144</v>
      </c>
      <c r="AF196" s="557">
        <f>3*60*2</f>
        <v>360</v>
      </c>
      <c r="AG196" s="557"/>
      <c r="AH196" s="118">
        <f>4*5*5</f>
        <v>100</v>
      </c>
      <c r="AI196" s="118"/>
      <c r="AJ196" s="118"/>
      <c r="AK196" s="118"/>
      <c r="AL196" s="557"/>
      <c r="AM196" s="116">
        <f>2*60+10+8*60</f>
        <v>610</v>
      </c>
      <c r="AN196" s="491">
        <f t="shared" si="64"/>
        <v>0</v>
      </c>
      <c r="AO196" s="269">
        <f t="shared" si="65"/>
        <v>1352</v>
      </c>
      <c r="AP196" s="291">
        <f>(AM196+AL196+AH196)*0.3+(AG196+AF196+AE196+AD196)*0.6</f>
        <v>598.20000000000005</v>
      </c>
      <c r="AQ196" s="474">
        <f t="shared" si="62"/>
        <v>751.8</v>
      </c>
      <c r="AR196" s="475"/>
      <c r="AS196" s="556">
        <f>AM196+AH196</f>
        <v>710</v>
      </c>
      <c r="AT196" s="256">
        <f>AD196+AE196+AF196+AS196+AG196+AL196</f>
        <v>1352</v>
      </c>
      <c r="AU196" s="132">
        <f t="shared" si="43"/>
        <v>598.20000000000005</v>
      </c>
      <c r="AV196" s="257"/>
    </row>
    <row r="197" spans="1:61" s="239" customFormat="1" thickBot="1">
      <c r="B197" s="275" t="s">
        <v>320</v>
      </c>
      <c r="C197" s="492"/>
      <c r="D197" s="492"/>
      <c r="E197" s="451">
        <f t="shared" ref="E197:L197" si="66">SUM(E193:E196)</f>
        <v>1788</v>
      </c>
      <c r="F197" s="451">
        <f t="shared" si="66"/>
        <v>8647</v>
      </c>
      <c r="G197" s="493">
        <f t="shared" si="66"/>
        <v>536.94355200000007</v>
      </c>
      <c r="H197" s="493">
        <f t="shared" si="66"/>
        <v>1072.6430560000001</v>
      </c>
      <c r="I197" s="493">
        <f t="shared" si="66"/>
        <v>120.60000000000001</v>
      </c>
      <c r="J197" s="493">
        <f t="shared" si="66"/>
        <v>5.85</v>
      </c>
      <c r="K197" s="451">
        <f t="shared" si="66"/>
        <v>0</v>
      </c>
      <c r="L197" s="494">
        <f t="shared" si="66"/>
        <v>1736.0366079999999</v>
      </c>
      <c r="M197" s="263">
        <f>E208</f>
        <v>905</v>
      </c>
      <c r="N197" s="173">
        <f>E208/C208</f>
        <v>100.55555555555556</v>
      </c>
      <c r="O197" s="173">
        <f>N197*3</f>
        <v>301.66666666666669</v>
      </c>
      <c r="P197" s="173">
        <f>E208-O197</f>
        <v>603.33333333333326</v>
      </c>
      <c r="Q197" s="264"/>
      <c r="R197" s="264"/>
      <c r="S197" s="264"/>
      <c r="T197" s="264"/>
      <c r="U197" s="265">
        <f>1.1227*L208</f>
        <v>441.20960355200009</v>
      </c>
      <c r="V197" s="266"/>
      <c r="W197" s="264"/>
      <c r="X197" s="264"/>
      <c r="Y197" s="264"/>
      <c r="Z197" s="264"/>
      <c r="AA197" s="385"/>
      <c r="AB197" s="385"/>
      <c r="AC197" s="385"/>
      <c r="AD197" s="385"/>
      <c r="AE197" s="385"/>
      <c r="AF197" s="385"/>
      <c r="AG197" s="385"/>
      <c r="AH197" s="307"/>
      <c r="AI197" s="307"/>
      <c r="AJ197" s="307"/>
      <c r="AK197" s="307"/>
      <c r="AL197" s="307"/>
      <c r="AM197" s="300">
        <f>AA197-AB197-AD197-AE197-AF197-AH197</f>
        <v>0</v>
      </c>
      <c r="AN197" s="300">
        <f t="shared" si="64"/>
        <v>0</v>
      </c>
      <c r="AO197" s="269">
        <f t="shared" si="65"/>
        <v>0</v>
      </c>
      <c r="AP197" s="456">
        <f>(AM197+AL197)*0.3+(AG197+AF197+AE197+AD197)*0.6</f>
        <v>0</v>
      </c>
      <c r="AQ197" s="385">
        <f t="shared" si="62"/>
        <v>8647</v>
      </c>
      <c r="AR197" s="303">
        <f>AP197*0.138562</f>
        <v>0</v>
      </c>
      <c r="AS197" s="308"/>
      <c r="AT197" s="302">
        <f>AD197+AE197+AF197+AH197+AM197</f>
        <v>0</v>
      </c>
      <c r="AU197" s="132">
        <f t="shared" si="43"/>
        <v>0</v>
      </c>
      <c r="AV197" s="257"/>
    </row>
    <row r="198" spans="1:61" s="239" customFormat="1" ht="10.5" customHeight="1">
      <c r="B198" s="309" t="s">
        <v>463</v>
      </c>
      <c r="C198" s="242"/>
      <c r="D198" s="242"/>
      <c r="E198" s="242"/>
      <c r="F198" s="242"/>
      <c r="G198" s="243"/>
      <c r="H198" s="243"/>
      <c r="I198" s="243"/>
      <c r="J198" s="243"/>
      <c r="K198" s="242"/>
      <c r="L198" s="244"/>
      <c r="M198" s="263">
        <f>E209</f>
        <v>0</v>
      </c>
      <c r="N198" s="173">
        <f>E209/C209</f>
        <v>0</v>
      </c>
      <c r="O198" s="173">
        <f>N198*3</f>
        <v>0</v>
      </c>
      <c r="P198" s="173">
        <f>E209-O198</f>
        <v>0</v>
      </c>
      <c r="Q198" s="264"/>
      <c r="R198" s="264"/>
      <c r="S198" s="264"/>
      <c r="T198" s="264"/>
      <c r="U198" s="265">
        <f>1.1227*L209</f>
        <v>135.39762000000002</v>
      </c>
      <c r="V198" s="266"/>
      <c r="W198" s="264"/>
      <c r="X198" s="264"/>
      <c r="Y198" s="264"/>
      <c r="Z198" s="264"/>
      <c r="AA198" s="115"/>
      <c r="AB198" s="115"/>
      <c r="AC198" s="115"/>
      <c r="AD198" s="115"/>
      <c r="AE198" s="115"/>
      <c r="AF198" s="115"/>
      <c r="AG198" s="115"/>
      <c r="AH198" s="321"/>
      <c r="AI198" s="321"/>
      <c r="AJ198" s="321"/>
      <c r="AK198" s="321"/>
      <c r="AL198" s="321"/>
      <c r="AM198" s="269">
        <f>AA198-AB198-AD198-AE198-AF198-AH198</f>
        <v>0</v>
      </c>
      <c r="AN198" s="269">
        <f t="shared" si="64"/>
        <v>0</v>
      </c>
      <c r="AO198" s="269">
        <f t="shared" si="65"/>
        <v>0</v>
      </c>
      <c r="AP198" s="270">
        <f>(AM198+AL198)*0.3+(AG198+AF198+AE198+AD198)*0.6</f>
        <v>0</v>
      </c>
      <c r="AQ198" s="115">
        <f t="shared" si="62"/>
        <v>0</v>
      </c>
      <c r="AR198" s="303">
        <f>AP198*0.138562</f>
        <v>0</v>
      </c>
      <c r="AS198" s="322"/>
      <c r="AT198" s="316">
        <f>AD198+AE198+AF198+AH198+AM198</f>
        <v>0</v>
      </c>
      <c r="AU198" s="132">
        <f t="shared" si="43"/>
        <v>0</v>
      </c>
      <c r="AV198" s="257"/>
    </row>
    <row r="199" spans="1:61" s="378" customFormat="1" ht="15" customHeight="1">
      <c r="A199" s="239">
        <v>62</v>
      </c>
      <c r="B199" s="396" t="s">
        <v>464</v>
      </c>
      <c r="C199" s="258" t="s">
        <v>56</v>
      </c>
      <c r="D199" s="259" t="s">
        <v>55</v>
      </c>
      <c r="E199" s="259">
        <v>450</v>
      </c>
      <c r="F199" s="259">
        <v>2200</v>
      </c>
      <c r="G199" s="261">
        <f>E199*0.300304</f>
        <v>135.13679999999999</v>
      </c>
      <c r="H199" s="261">
        <f>F199*0.124048</f>
        <v>272.90559999999999</v>
      </c>
      <c r="I199" s="261"/>
      <c r="J199" s="261"/>
      <c r="K199" s="259"/>
      <c r="L199" s="262">
        <f>SUM(G199:K199)</f>
        <v>408.04239999999999</v>
      </c>
      <c r="M199" s="263">
        <f>E206</f>
        <v>710</v>
      </c>
      <c r="N199" s="173" t="e">
        <f>E206/C206</f>
        <v>#DIV/0!</v>
      </c>
      <c r="O199" s="173" t="e">
        <f>N199*3</f>
        <v>#DIV/0!</v>
      </c>
      <c r="P199" s="173" t="e">
        <f>E206-O199</f>
        <v>#DIV/0!</v>
      </c>
      <c r="Q199" s="264"/>
      <c r="R199" s="264"/>
      <c r="S199" s="264"/>
      <c r="T199" s="264"/>
      <c r="U199" s="265">
        <f>1.05*L206</f>
        <v>669.66847919999998</v>
      </c>
      <c r="V199" s="266"/>
      <c r="W199" s="264"/>
      <c r="X199" s="264"/>
      <c r="Y199" s="264"/>
      <c r="Z199" s="264"/>
      <c r="AA199" s="115">
        <v>3407.65</v>
      </c>
      <c r="AB199" s="267">
        <v>1089</v>
      </c>
      <c r="AC199" s="267"/>
      <c r="AD199" s="556">
        <v>100</v>
      </c>
      <c r="AE199" s="556">
        <f>115.2+140.8</f>
        <v>256</v>
      </c>
      <c r="AF199" s="557">
        <v>300</v>
      </c>
      <c r="AG199" s="557"/>
      <c r="AH199" s="116">
        <f>268+102.4+6.76</f>
        <v>377.15999999999997</v>
      </c>
      <c r="AI199" s="116"/>
      <c r="AJ199" s="116"/>
      <c r="AK199" s="116"/>
      <c r="AL199" s="557"/>
      <c r="AM199" s="116">
        <f>AA199-AB199-AD199-AE199-AF199-AH199</f>
        <v>1285.4900000000002</v>
      </c>
      <c r="AN199" s="268">
        <f t="shared" si="64"/>
        <v>2318.65</v>
      </c>
      <c r="AO199" s="269">
        <f t="shared" si="65"/>
        <v>2318.65</v>
      </c>
      <c r="AP199" s="270">
        <f>(AM199+AL199)*0.3+(AG199+AF199+AE199+AD199)*0.6</f>
        <v>779.24700000000007</v>
      </c>
      <c r="AQ199" s="115">
        <f t="shared" si="62"/>
        <v>1420.7529999999999</v>
      </c>
      <c r="AR199" s="303">
        <f>AP199*0.138562</f>
        <v>107.97402281400001</v>
      </c>
      <c r="AS199" s="556">
        <f>AM199+AH199</f>
        <v>1662.65</v>
      </c>
      <c r="AT199" s="256">
        <f>AD199+AE199+AF199+AS199+AG199+AL199</f>
        <v>2318.65</v>
      </c>
      <c r="AU199" s="132">
        <f t="shared" si="43"/>
        <v>892.39499999999998</v>
      </c>
      <c r="AV199" s="257"/>
      <c r="AW199" s="239"/>
      <c r="AX199" s="239"/>
      <c r="AY199" s="239"/>
      <c r="AZ199" s="239"/>
      <c r="BA199" s="239"/>
      <c r="BB199" s="239"/>
      <c r="BC199" s="239"/>
      <c r="BD199" s="239"/>
      <c r="BE199" s="239"/>
      <c r="BF199" s="239"/>
      <c r="BG199" s="239"/>
      <c r="BH199" s="239"/>
      <c r="BI199" s="239"/>
    </row>
    <row r="200" spans="1:61" s="239" customFormat="1" ht="15" customHeight="1">
      <c r="A200" s="239">
        <v>54</v>
      </c>
      <c r="B200" s="396" t="s">
        <v>465</v>
      </c>
      <c r="C200" s="258" t="s">
        <v>336</v>
      </c>
      <c r="D200" s="259" t="s">
        <v>43</v>
      </c>
      <c r="E200" s="259">
        <v>461</v>
      </c>
      <c r="F200" s="259">
        <v>863</v>
      </c>
      <c r="G200" s="261">
        <f>E200*0.300304</f>
        <v>138.440144</v>
      </c>
      <c r="H200" s="261">
        <f>F200*0.124048</f>
        <v>107.05342400000001</v>
      </c>
      <c r="I200" s="261"/>
      <c r="J200" s="261">
        <f>1.95*D200</f>
        <v>1.95</v>
      </c>
      <c r="K200" s="259"/>
      <c r="L200" s="262">
        <f>SUM(G200:K200)</f>
        <v>247.443568</v>
      </c>
      <c r="M200" s="263"/>
      <c r="N200" s="264"/>
      <c r="O200" s="173"/>
      <c r="P200" s="173"/>
      <c r="Q200" s="264"/>
      <c r="R200" s="264"/>
      <c r="S200" s="271">
        <f>T200-L207</f>
        <v>0</v>
      </c>
      <c r="T200" s="271">
        <f>L207*1.1</f>
        <v>0</v>
      </c>
      <c r="U200" s="265">
        <v>1441.37</v>
      </c>
      <c r="V200" s="266" t="e">
        <f>U200/L207</f>
        <v>#DIV/0!</v>
      </c>
      <c r="W200" s="264"/>
      <c r="X200" s="264"/>
      <c r="Y200" s="264"/>
      <c r="Z200" s="264"/>
      <c r="AA200" s="115">
        <v>2039.07</v>
      </c>
      <c r="AB200" s="267">
        <v>416</v>
      </c>
      <c r="AC200" s="267"/>
      <c r="AD200" s="556">
        <f>6.4+4.5+42.6+12+9+6</f>
        <v>80.5</v>
      </c>
      <c r="AE200" s="556">
        <f>9*24</f>
        <v>216</v>
      </c>
      <c r="AF200" s="557">
        <f>4.5*21+27*5+12*5+25*3.2</f>
        <v>369.5</v>
      </c>
      <c r="AG200" s="557"/>
      <c r="AH200" s="116">
        <v>0</v>
      </c>
      <c r="AI200" s="116"/>
      <c r="AJ200" s="116"/>
      <c r="AK200" s="116"/>
      <c r="AL200" s="557"/>
      <c r="AM200" s="116">
        <f>AA200-AB200-AD200-AE200-AF200-AH200</f>
        <v>957.06999999999994</v>
      </c>
      <c r="AN200" s="268">
        <f t="shared" si="64"/>
        <v>1623.07</v>
      </c>
      <c r="AO200" s="269">
        <f t="shared" si="65"/>
        <v>1623.07</v>
      </c>
      <c r="AP200" s="270">
        <f>(AM200+AL200)*0.3+(AG200+AF200+AE200+AD200)*0.6</f>
        <v>686.721</v>
      </c>
      <c r="AQ200" s="115">
        <f t="shared" si="62"/>
        <v>176.279</v>
      </c>
      <c r="AR200" s="303">
        <f>AP200*0.138562</f>
        <v>95.153435201999997</v>
      </c>
      <c r="AS200" s="556">
        <f>AM200+AH200</f>
        <v>957.06999999999994</v>
      </c>
      <c r="AT200" s="256">
        <f>AD200+AE200+AF200+AS200+AG200+AL200</f>
        <v>1623.07</v>
      </c>
      <c r="AU200" s="132">
        <f t="shared" si="43"/>
        <v>686.721</v>
      </c>
      <c r="AV200" s="257"/>
    </row>
    <row r="201" spans="1:61" s="239" customFormat="1" ht="15" customHeight="1">
      <c r="A201" s="135">
        <v>80</v>
      </c>
      <c r="B201" s="240" t="s">
        <v>466</v>
      </c>
      <c r="C201" s="272">
        <v>5</v>
      </c>
      <c r="D201" s="260">
        <v>4</v>
      </c>
      <c r="E201" s="260">
        <v>273</v>
      </c>
      <c r="F201" s="260">
        <v>2198</v>
      </c>
      <c r="G201" s="261">
        <f>E201*0.300304</f>
        <v>81.98299200000001</v>
      </c>
      <c r="H201" s="261">
        <f>F201*0.124048</f>
        <v>272.65750400000002</v>
      </c>
      <c r="I201" s="261"/>
      <c r="J201" s="261"/>
      <c r="K201" s="259"/>
      <c r="L201" s="262">
        <f>G201+H201+I201+J201+K201</f>
        <v>354.64049600000004</v>
      </c>
      <c r="M201" s="263">
        <f>E201</f>
        <v>273</v>
      </c>
      <c r="N201" s="173">
        <f>E201/C201</f>
        <v>54.6</v>
      </c>
      <c r="O201" s="173">
        <f>N201*3</f>
        <v>163.80000000000001</v>
      </c>
      <c r="P201" s="173">
        <f>E201-O201</f>
        <v>109.19999999999999</v>
      </c>
      <c r="Q201" s="271"/>
      <c r="R201" s="271"/>
      <c r="S201" s="271"/>
      <c r="T201" s="271"/>
      <c r="U201" s="329">
        <f>L201*1.071</f>
        <v>379.819971216</v>
      </c>
      <c r="V201" s="266"/>
      <c r="W201" s="271"/>
      <c r="X201" s="271"/>
      <c r="Y201" s="271"/>
      <c r="Z201" s="271"/>
      <c r="AA201" s="304"/>
      <c r="AB201" s="303"/>
      <c r="AC201" s="303"/>
      <c r="AD201" s="556">
        <f>(71+13)*2</f>
        <v>168</v>
      </c>
      <c r="AE201" s="556">
        <f>4*4*4</f>
        <v>64</v>
      </c>
      <c r="AF201" s="557">
        <f>6*20+71*4+30*3</f>
        <v>494</v>
      </c>
      <c r="AG201" s="557"/>
      <c r="AH201" s="118">
        <f>5*4+16*4*3+6*2</f>
        <v>224</v>
      </c>
      <c r="AI201" s="118"/>
      <c r="AJ201" s="118"/>
      <c r="AK201" s="118"/>
      <c r="AL201" s="557"/>
      <c r="AM201" s="116">
        <f>8*71+12*71+10</f>
        <v>1430</v>
      </c>
      <c r="AN201" s="268">
        <f t="shared" si="64"/>
        <v>0</v>
      </c>
      <c r="AO201" s="269">
        <f t="shared" si="65"/>
        <v>2380</v>
      </c>
      <c r="AP201" s="270">
        <f>(AM201+AL201+AH201)*0.3+(AG201+AF201+AE201+AD201)*0.6</f>
        <v>931.8</v>
      </c>
      <c r="AQ201" s="115">
        <f t="shared" si="62"/>
        <v>1266.2</v>
      </c>
      <c r="AR201" s="303"/>
      <c r="AS201" s="556">
        <f>AM201+AH201</f>
        <v>1654</v>
      </c>
      <c r="AT201" s="256">
        <f>AD201+AE201+AF201+AS201+AG201+AL201</f>
        <v>2380</v>
      </c>
      <c r="AU201" s="132">
        <f t="shared" si="43"/>
        <v>931.8</v>
      </c>
      <c r="AV201" s="257"/>
    </row>
    <row r="202" spans="1:61" s="239" customFormat="1" ht="15.75" customHeight="1" thickBot="1">
      <c r="B202" s="275" t="s">
        <v>320</v>
      </c>
      <c r="C202" s="327"/>
      <c r="D202" s="327"/>
      <c r="E202" s="327">
        <f t="shared" ref="E202:L202" si="67">SUM(E199:E201)</f>
        <v>1184</v>
      </c>
      <c r="F202" s="327">
        <f t="shared" si="67"/>
        <v>5261</v>
      </c>
      <c r="G202" s="397">
        <f t="shared" si="67"/>
        <v>355.55993600000005</v>
      </c>
      <c r="H202" s="397">
        <f t="shared" si="67"/>
        <v>652.61652800000002</v>
      </c>
      <c r="I202" s="397">
        <f t="shared" si="67"/>
        <v>0</v>
      </c>
      <c r="J202" s="397">
        <f t="shared" si="67"/>
        <v>1.95</v>
      </c>
      <c r="K202" s="327">
        <f t="shared" si="67"/>
        <v>0</v>
      </c>
      <c r="L202" s="328">
        <f t="shared" si="67"/>
        <v>1010.1264639999999</v>
      </c>
      <c r="M202" s="263">
        <f>E213</f>
        <v>0</v>
      </c>
      <c r="N202" s="264"/>
      <c r="O202" s="173"/>
      <c r="P202" s="173"/>
      <c r="Q202" s="264"/>
      <c r="R202" s="264"/>
      <c r="S202" s="264"/>
      <c r="T202" s="264"/>
      <c r="U202" s="265"/>
      <c r="V202" s="266"/>
      <c r="W202" s="264"/>
      <c r="X202" s="264"/>
      <c r="Y202" s="264"/>
      <c r="Z202" s="264"/>
      <c r="AA202" s="115"/>
      <c r="AB202" s="115"/>
      <c r="AC202" s="385"/>
      <c r="AD202" s="385"/>
      <c r="AE202" s="385"/>
      <c r="AF202" s="341"/>
      <c r="AG202" s="341"/>
      <c r="AH202" s="307"/>
      <c r="AI202" s="307"/>
      <c r="AJ202" s="307"/>
      <c r="AK202" s="307"/>
      <c r="AL202" s="307"/>
      <c r="AM202" s="300">
        <f>AA202-AB202-AD202-AE202-AF202-AH202</f>
        <v>0</v>
      </c>
      <c r="AN202" s="269">
        <f t="shared" si="64"/>
        <v>0</v>
      </c>
      <c r="AO202" s="269">
        <f t="shared" si="65"/>
        <v>0</v>
      </c>
      <c r="AP202" s="270">
        <f>(AM202+AL202)*0.3+(AG202+AF202+AE202+AD202)*0.6</f>
        <v>0</v>
      </c>
      <c r="AQ202" s="115">
        <f t="shared" si="62"/>
        <v>5261</v>
      </c>
      <c r="AR202" s="303">
        <f>AP202*0.138562</f>
        <v>0</v>
      </c>
      <c r="AS202" s="308"/>
      <c r="AT202" s="302">
        <f>AD202+AE202+AF202+AH202+AM202</f>
        <v>0</v>
      </c>
      <c r="AU202" s="132">
        <f t="shared" si="43"/>
        <v>0</v>
      </c>
      <c r="AV202" s="257"/>
    </row>
    <row r="203" spans="1:61" s="239" customFormat="1" ht="12.75" customHeight="1">
      <c r="B203" s="309" t="s">
        <v>467</v>
      </c>
      <c r="C203" s="495"/>
      <c r="D203" s="495"/>
      <c r="E203" s="495"/>
      <c r="F203" s="495"/>
      <c r="G203" s="496"/>
      <c r="H203" s="496"/>
      <c r="I203" s="496"/>
      <c r="J203" s="496"/>
      <c r="K203" s="495"/>
      <c r="L203" s="497"/>
      <c r="M203" s="263"/>
      <c r="N203" s="264"/>
      <c r="O203" s="173"/>
      <c r="P203" s="173"/>
      <c r="Q203" s="264"/>
      <c r="R203" s="264"/>
      <c r="S203" s="264"/>
      <c r="T203" s="264"/>
      <c r="U203" s="265"/>
      <c r="V203" s="266"/>
      <c r="W203" s="264"/>
      <c r="X203" s="264"/>
      <c r="Y203" s="264"/>
      <c r="Z203" s="264"/>
      <c r="AA203" s="115"/>
      <c r="AB203" s="115"/>
      <c r="AC203" s="115"/>
      <c r="AD203" s="115"/>
      <c r="AE203" s="115"/>
      <c r="AF203" s="348"/>
      <c r="AG203" s="348"/>
      <c r="AH203" s="321"/>
      <c r="AI203" s="321"/>
      <c r="AJ203" s="321"/>
      <c r="AK203" s="321"/>
      <c r="AL203" s="321"/>
      <c r="AM203" s="269">
        <f>AA203-AB203-AD203-AE203-AF203-AH203</f>
        <v>0</v>
      </c>
      <c r="AN203" s="269">
        <f t="shared" si="64"/>
        <v>0</v>
      </c>
      <c r="AO203" s="269">
        <f t="shared" si="65"/>
        <v>0</v>
      </c>
      <c r="AP203" s="270">
        <f>(AM203+AL203)*0.3+(AG203+AF203+AE203+AD203)*0.6</f>
        <v>0</v>
      </c>
      <c r="AQ203" s="115">
        <f t="shared" si="62"/>
        <v>0</v>
      </c>
      <c r="AR203" s="303">
        <f>AP203*0.138562</f>
        <v>0</v>
      </c>
      <c r="AS203" s="322"/>
      <c r="AT203" s="316">
        <f>AD203+AE203+AF203+AH203+AM203</f>
        <v>0</v>
      </c>
      <c r="AU203" s="132">
        <f t="shared" si="43"/>
        <v>0</v>
      </c>
      <c r="AV203" s="257"/>
    </row>
    <row r="204" spans="1:61" s="479" customFormat="1" ht="15" customHeight="1">
      <c r="A204" s="135">
        <v>60</v>
      </c>
      <c r="B204" s="240" t="s">
        <v>468</v>
      </c>
      <c r="C204" s="272">
        <v>5</v>
      </c>
      <c r="D204" s="260">
        <v>3</v>
      </c>
      <c r="E204" s="260">
        <v>203</v>
      </c>
      <c r="F204" s="260">
        <v>1680</v>
      </c>
      <c r="G204" s="261">
        <f>E204*0.300304</f>
        <v>60.961712000000006</v>
      </c>
      <c r="H204" s="261">
        <f>F204*0.124048</f>
        <v>208.40064000000001</v>
      </c>
      <c r="I204" s="261"/>
      <c r="J204" s="261"/>
      <c r="K204" s="259"/>
      <c r="L204" s="262">
        <f>G204+H204+I204+J204+K204</f>
        <v>269.36235199999999</v>
      </c>
      <c r="M204" s="263">
        <f>E204</f>
        <v>203</v>
      </c>
      <c r="N204" s="173">
        <f>E204/C204</f>
        <v>40.6</v>
      </c>
      <c r="O204" s="173">
        <f>N204*3</f>
        <v>121.80000000000001</v>
      </c>
      <c r="P204" s="173">
        <f>E204-O204</f>
        <v>81.199999999999989</v>
      </c>
      <c r="Q204" s="271"/>
      <c r="R204" s="271"/>
      <c r="S204" s="271"/>
      <c r="T204" s="271"/>
      <c r="U204" s="329">
        <f>L204*1.071</f>
        <v>288.48707899199997</v>
      </c>
      <c r="V204" s="266"/>
      <c r="W204" s="271"/>
      <c r="X204" s="271"/>
      <c r="Y204" s="271"/>
      <c r="Z204" s="271"/>
      <c r="AA204" s="304"/>
      <c r="AB204" s="303"/>
      <c r="AC204" s="303"/>
      <c r="AD204" s="556">
        <f>(57+13)*2</f>
        <v>140</v>
      </c>
      <c r="AE204" s="556">
        <f>5*3*3</f>
        <v>45</v>
      </c>
      <c r="AF204" s="557">
        <f>58*3+5*8+13*7+21</f>
        <v>326</v>
      </c>
      <c r="AG204" s="557"/>
      <c r="AH204" s="118">
        <f>11*4+16*4*2+8*4</f>
        <v>204</v>
      </c>
      <c r="AI204" s="118"/>
      <c r="AJ204" s="118"/>
      <c r="AK204" s="118"/>
      <c r="AL204" s="557"/>
      <c r="AM204" s="116">
        <f>58*14-13*7+4*16+12*1.5+58*2</f>
        <v>919</v>
      </c>
      <c r="AN204" s="268">
        <f t="shared" si="64"/>
        <v>0</v>
      </c>
      <c r="AO204" s="269">
        <f t="shared" si="65"/>
        <v>1634</v>
      </c>
      <c r="AP204" s="270">
        <f>(AM204+AL204+AH204)*0.3+(AG204+AF204+AE204+AD204)*0.6</f>
        <v>643.5</v>
      </c>
      <c r="AQ204" s="115">
        <f t="shared" si="62"/>
        <v>1036.5</v>
      </c>
      <c r="AR204" s="303"/>
      <c r="AS204" s="556">
        <f>AM204+AH204</f>
        <v>1123</v>
      </c>
      <c r="AT204" s="256">
        <f>AD204+AE204+AF204+AS204+AG204+AL204</f>
        <v>1634</v>
      </c>
      <c r="AU204" s="132">
        <f t="shared" si="43"/>
        <v>643.5</v>
      </c>
      <c r="AV204" s="257"/>
      <c r="AW204" s="239"/>
      <c r="AX204" s="239"/>
      <c r="AY204" s="239"/>
      <c r="AZ204" s="239"/>
      <c r="BA204" s="239"/>
      <c r="BB204" s="239"/>
      <c r="BC204" s="239"/>
      <c r="BD204" s="239"/>
      <c r="BE204" s="239"/>
      <c r="BF204" s="239"/>
      <c r="BG204" s="239"/>
      <c r="BH204" s="239"/>
      <c r="BI204" s="239"/>
    </row>
    <row r="205" spans="1:61" s="239" customFormat="1" ht="15" customHeight="1">
      <c r="A205" s="135">
        <v>72</v>
      </c>
      <c r="B205" s="240" t="s">
        <v>469</v>
      </c>
      <c r="C205" s="272">
        <v>9</v>
      </c>
      <c r="D205" s="260">
        <v>2</v>
      </c>
      <c r="E205" s="260">
        <v>507</v>
      </c>
      <c r="F205" s="260">
        <v>1063</v>
      </c>
      <c r="G205" s="261">
        <f>E205*0.300304</f>
        <v>152.25412800000001</v>
      </c>
      <c r="H205" s="261">
        <f>F205*0.124048</f>
        <v>131.863024</v>
      </c>
      <c r="I205" s="261">
        <f>40.2*D205</f>
        <v>80.400000000000006</v>
      </c>
      <c r="J205" s="261">
        <f>1.95*D205</f>
        <v>3.9</v>
      </c>
      <c r="K205" s="259"/>
      <c r="L205" s="262">
        <f>G205+H205+I205+J205+K205</f>
        <v>368.41715199999999</v>
      </c>
      <c r="M205" s="263">
        <f>E205</f>
        <v>507</v>
      </c>
      <c r="N205" s="173">
        <f>E205/C205</f>
        <v>56.333333333333336</v>
      </c>
      <c r="O205" s="173">
        <f>N205*3</f>
        <v>169</v>
      </c>
      <c r="P205" s="173">
        <f>E205-O205</f>
        <v>338</v>
      </c>
      <c r="Q205" s="271"/>
      <c r="R205" s="271"/>
      <c r="S205" s="271"/>
      <c r="T205" s="271"/>
      <c r="U205" s="265">
        <f>1.6464*L205</f>
        <v>606.56199905280005</v>
      </c>
      <c r="V205" s="266"/>
      <c r="W205" s="271"/>
      <c r="X205" s="271"/>
      <c r="Y205" s="271"/>
      <c r="Z205" s="271"/>
      <c r="AA205" s="304"/>
      <c r="AB205" s="303"/>
      <c r="AC205" s="303"/>
      <c r="AD205" s="556">
        <f>(37*2+19)</f>
        <v>93</v>
      </c>
      <c r="AE205" s="556">
        <f>2*2*2</f>
        <v>8</v>
      </c>
      <c r="AF205" s="557">
        <f>40*2+12+22*40</f>
        <v>972</v>
      </c>
      <c r="AG205" s="557"/>
      <c r="AH205" s="116">
        <f>2*10+2*15</f>
        <v>50</v>
      </c>
      <c r="AI205" s="116"/>
      <c r="AJ205" s="116"/>
      <c r="AK205" s="116"/>
      <c r="AL205" s="557"/>
      <c r="AM205" s="116">
        <f>200+6*40</f>
        <v>440</v>
      </c>
      <c r="AN205" s="268">
        <f t="shared" si="64"/>
        <v>0</v>
      </c>
      <c r="AO205" s="269">
        <f t="shared" si="65"/>
        <v>1563</v>
      </c>
      <c r="AP205" s="270">
        <f>(AM205+AL205+AH205)*0.3+(AG205+AF205+AE205+AD205)*0.6</f>
        <v>790.8</v>
      </c>
      <c r="AQ205" s="115">
        <f t="shared" si="62"/>
        <v>272.20000000000005</v>
      </c>
      <c r="AR205" s="303"/>
      <c r="AS205" s="556">
        <f>AM205+AH205</f>
        <v>490</v>
      </c>
      <c r="AT205" s="256">
        <f>AD205+AE205+AF205+AS205+AG205+AL205</f>
        <v>1563</v>
      </c>
      <c r="AU205" s="132">
        <f t="shared" si="43"/>
        <v>790.8</v>
      </c>
      <c r="AV205" s="257"/>
    </row>
    <row r="206" spans="1:61" s="239" customFormat="1" ht="10.5" customHeight="1" thickBot="1">
      <c r="B206" s="275" t="s">
        <v>320</v>
      </c>
      <c r="C206" s="391"/>
      <c r="D206" s="391"/>
      <c r="E206" s="327">
        <f t="shared" ref="E206:L206" si="68">SUM(E204:E205)</f>
        <v>710</v>
      </c>
      <c r="F206" s="327">
        <f t="shared" si="68"/>
        <v>2743</v>
      </c>
      <c r="G206" s="397">
        <f t="shared" si="68"/>
        <v>213.21584000000001</v>
      </c>
      <c r="H206" s="397">
        <f t="shared" si="68"/>
        <v>340.26366400000001</v>
      </c>
      <c r="I206" s="397">
        <f t="shared" si="68"/>
        <v>80.400000000000006</v>
      </c>
      <c r="J206" s="327">
        <f t="shared" si="68"/>
        <v>3.9</v>
      </c>
      <c r="K206" s="327">
        <f t="shared" si="68"/>
        <v>0</v>
      </c>
      <c r="L206" s="328">
        <f t="shared" si="68"/>
        <v>637.77950399999997</v>
      </c>
      <c r="M206" s="263">
        <f>E210</f>
        <v>905</v>
      </c>
      <c r="N206" s="173" t="e">
        <f>E210/C210</f>
        <v>#DIV/0!</v>
      </c>
      <c r="O206" s="173" t="e">
        <f>N206*3</f>
        <v>#DIV/0!</v>
      </c>
      <c r="P206" s="173" t="e">
        <f>E210-O206</f>
        <v>#DIV/0!</v>
      </c>
      <c r="Q206" s="264"/>
      <c r="R206" s="264"/>
      <c r="S206" s="264"/>
      <c r="T206" s="264"/>
      <c r="U206" s="265">
        <f>1.05*L210</f>
        <v>539.26924800000006</v>
      </c>
      <c r="V206" s="266"/>
      <c r="W206" s="264"/>
      <c r="X206" s="264"/>
      <c r="Y206" s="264"/>
      <c r="Z206" s="264"/>
      <c r="AA206" s="115"/>
      <c r="AB206" s="115"/>
      <c r="AC206" s="385"/>
      <c r="AD206" s="385"/>
      <c r="AE206" s="385"/>
      <c r="AF206" s="385"/>
      <c r="AG206" s="385"/>
      <c r="AH206" s="307"/>
      <c r="AI206" s="307"/>
      <c r="AJ206" s="307"/>
      <c r="AK206" s="307"/>
      <c r="AL206" s="307"/>
      <c r="AM206" s="300">
        <f>AA206-AB206-AD206-AE206-AF206-AH206</f>
        <v>0</v>
      </c>
      <c r="AN206" s="269">
        <f t="shared" si="64"/>
        <v>0</v>
      </c>
      <c r="AO206" s="269">
        <f t="shared" si="65"/>
        <v>0</v>
      </c>
      <c r="AP206" s="270">
        <f>(AM206+AL206)*0.3+(AG206+AF206+AE206+AD206)*0.6</f>
        <v>0</v>
      </c>
      <c r="AQ206" s="115"/>
      <c r="AR206" s="303">
        <f>AP206*0.138562</f>
        <v>0</v>
      </c>
      <c r="AS206" s="308"/>
      <c r="AT206" s="302">
        <f>AD206+AE206+AF206+AH206+AM206</f>
        <v>0</v>
      </c>
      <c r="AU206" s="132">
        <f t="shared" si="43"/>
        <v>0</v>
      </c>
      <c r="AV206" s="257"/>
    </row>
    <row r="207" spans="1:61" s="239" customFormat="1" ht="12.75" customHeight="1">
      <c r="B207" s="309" t="s">
        <v>470</v>
      </c>
      <c r="C207" s="242"/>
      <c r="D207" s="242"/>
      <c r="E207" s="242"/>
      <c r="F207" s="242"/>
      <c r="G207" s="243"/>
      <c r="H207" s="243"/>
      <c r="I207" s="243"/>
      <c r="J207" s="243"/>
      <c r="K207" s="242"/>
      <c r="L207" s="244"/>
      <c r="M207" s="263">
        <f>E214</f>
        <v>264</v>
      </c>
      <c r="N207" s="173">
        <f>E214/C214</f>
        <v>29.333333333333332</v>
      </c>
      <c r="O207" s="173">
        <f>N207*3</f>
        <v>88</v>
      </c>
      <c r="P207" s="173">
        <f>E214-O207</f>
        <v>176</v>
      </c>
      <c r="Q207" s="264"/>
      <c r="R207" s="264"/>
      <c r="S207" s="264"/>
      <c r="T207" s="264"/>
      <c r="U207" s="265">
        <f>1.0647*L214</f>
        <v>276.41712440160001</v>
      </c>
      <c r="V207" s="266"/>
      <c r="W207" s="264"/>
      <c r="X207" s="264"/>
      <c r="Y207" s="264"/>
      <c r="Z207" s="264"/>
      <c r="AA207" s="115"/>
      <c r="AB207" s="115"/>
      <c r="AC207" s="115"/>
      <c r="AD207" s="115"/>
      <c r="AE207" s="115"/>
      <c r="AF207" s="115"/>
      <c r="AG207" s="115"/>
      <c r="AH207" s="321"/>
      <c r="AI207" s="321"/>
      <c r="AJ207" s="321"/>
      <c r="AK207" s="321"/>
      <c r="AL207" s="321"/>
      <c r="AM207" s="269">
        <f>AA207-AB207-AD207-AE207-AF207-AH207</f>
        <v>0</v>
      </c>
      <c r="AN207" s="269">
        <f t="shared" si="64"/>
        <v>0</v>
      </c>
      <c r="AO207" s="269">
        <f t="shared" si="65"/>
        <v>0</v>
      </c>
      <c r="AP207" s="270">
        <f>(AM207+AL207)*0.3+(AG207+AF207+AE207+AD207)*0.6</f>
        <v>0</v>
      </c>
      <c r="AQ207" s="115">
        <f>F207-AP207</f>
        <v>0</v>
      </c>
      <c r="AR207" s="303">
        <f>AP207*0.138562</f>
        <v>0</v>
      </c>
      <c r="AS207" s="322"/>
      <c r="AT207" s="316">
        <f>AD207+AE207+AF207+AH207+AM207</f>
        <v>0</v>
      </c>
      <c r="AU207" s="132">
        <f t="shared" si="43"/>
        <v>0</v>
      </c>
      <c r="AV207" s="257"/>
    </row>
    <row r="208" spans="1:61" s="239" customFormat="1" ht="15" customHeight="1">
      <c r="A208" s="498">
        <v>84</v>
      </c>
      <c r="B208" s="240" t="s">
        <v>471</v>
      </c>
      <c r="C208" s="499">
        <v>9</v>
      </c>
      <c r="D208" s="500">
        <v>3</v>
      </c>
      <c r="E208" s="500">
        <v>905</v>
      </c>
      <c r="F208" s="500">
        <v>930</v>
      </c>
      <c r="G208" s="501">
        <f>E208*0.300304</f>
        <v>271.77512000000002</v>
      </c>
      <c r="H208" s="501">
        <f>F208*0.124048</f>
        <v>115.36464000000001</v>
      </c>
      <c r="I208" s="501"/>
      <c r="J208" s="501">
        <f>1.95*D208</f>
        <v>5.85</v>
      </c>
      <c r="K208" s="500"/>
      <c r="L208" s="502">
        <f>G208+H208+I208+J208+K208</f>
        <v>392.98976000000005</v>
      </c>
      <c r="M208" s="503"/>
      <c r="N208" s="504"/>
      <c r="O208" s="505"/>
      <c r="P208" s="505"/>
      <c r="Q208" s="506"/>
      <c r="R208" s="506"/>
      <c r="S208" s="507"/>
      <c r="T208" s="507"/>
      <c r="U208" s="506"/>
      <c r="V208" s="508"/>
      <c r="W208" s="506"/>
      <c r="X208" s="506"/>
      <c r="Y208" s="506"/>
      <c r="Z208" s="506"/>
      <c r="AA208" s="509">
        <v>2948</v>
      </c>
      <c r="AB208" s="510">
        <v>994</v>
      </c>
      <c r="AC208" s="510"/>
      <c r="AD208" s="556">
        <f>72</f>
        <v>72</v>
      </c>
      <c r="AE208" s="556">
        <f>5*5.5*2</f>
        <v>55</v>
      </c>
      <c r="AF208" s="557">
        <f>5.7*11+5*11+11*15+10.5*10.5+3.2*(72-11)+3.5*5.5+19*1.5+6.2+3*7</f>
        <v>663.1</v>
      </c>
      <c r="AG208" s="557"/>
      <c r="AH208" s="118">
        <f>8.5*5-3+16*5+7*5</f>
        <v>154.5</v>
      </c>
      <c r="AI208" s="118"/>
      <c r="AJ208" s="118"/>
      <c r="AK208" s="118"/>
      <c r="AL208" s="557"/>
      <c r="AM208" s="118">
        <f>7*7+20+6.5*6.6+20+6.5*6.5/2</f>
        <v>153.02500000000001</v>
      </c>
      <c r="AN208" s="511">
        <f>AM208+AH208+AD208+AE208+AF208</f>
        <v>1097.625</v>
      </c>
      <c r="AO208" s="512">
        <f t="shared" si="65"/>
        <v>1097.625</v>
      </c>
      <c r="AP208" s="513">
        <f>(AM208+AL208)*0.3+(AG208+AF208+AE208+AD208)*0.6</f>
        <v>519.96749999999997</v>
      </c>
      <c r="AQ208" s="509">
        <f>F208-AP208</f>
        <v>410.03250000000003</v>
      </c>
      <c r="AR208" s="514"/>
      <c r="AS208" s="556">
        <f>AM208+AH208</f>
        <v>307.52499999999998</v>
      </c>
      <c r="AT208" s="256">
        <f>AD208+AE208+AF208+AS208+AG208+AL208</f>
        <v>1097.625</v>
      </c>
      <c r="AU208" s="132">
        <f t="shared" si="43"/>
        <v>566.3175</v>
      </c>
      <c r="AV208" s="257"/>
    </row>
    <row r="209" spans="1:61" s="239" customFormat="1" ht="15.75" customHeight="1">
      <c r="A209" s="457">
        <f>84/2</f>
        <v>42</v>
      </c>
      <c r="B209" s="240" t="s">
        <v>471</v>
      </c>
      <c r="C209" s="499">
        <v>9</v>
      </c>
      <c r="D209" s="500">
        <v>3</v>
      </c>
      <c r="E209" s="500"/>
      <c r="F209" s="500">
        <v>930</v>
      </c>
      <c r="G209" s="501"/>
      <c r="H209" s="501"/>
      <c r="I209" s="501">
        <f>40.2*D209</f>
        <v>120.60000000000001</v>
      </c>
      <c r="J209" s="501"/>
      <c r="K209" s="500"/>
      <c r="L209" s="515">
        <f>G209+H209+I209+J209+K209</f>
        <v>120.60000000000001</v>
      </c>
      <c r="M209" s="503"/>
      <c r="N209" s="505"/>
      <c r="O209" s="505"/>
      <c r="P209" s="505"/>
      <c r="Q209" s="516"/>
      <c r="R209" s="516"/>
      <c r="S209" s="516"/>
      <c r="T209" s="516"/>
      <c r="U209" s="517"/>
      <c r="V209" s="518"/>
      <c r="W209" s="516"/>
      <c r="X209" s="516"/>
      <c r="Y209" s="516"/>
      <c r="Z209" s="516"/>
      <c r="AA209" s="509"/>
      <c r="AB209" s="510"/>
      <c r="AC209" s="510"/>
      <c r="AD209" s="115"/>
      <c r="AE209" s="115"/>
      <c r="AF209" s="118"/>
      <c r="AG209" s="118"/>
      <c r="AH209" s="118"/>
      <c r="AI209" s="118"/>
      <c r="AJ209" s="118"/>
      <c r="AK209" s="118"/>
      <c r="AL209" s="118"/>
      <c r="AM209" s="118"/>
      <c r="AN209" s="511"/>
      <c r="AO209" s="512"/>
      <c r="AP209" s="513"/>
      <c r="AQ209" s="509"/>
      <c r="AR209" s="519">
        <f>AP209*0.138562</f>
        <v>0</v>
      </c>
      <c r="AS209" s="520"/>
      <c r="AT209" s="123">
        <f>AD209+AE209+AF209+AH209+AM209+AG209+AL209</f>
        <v>0</v>
      </c>
      <c r="AU209" s="132">
        <f t="shared" si="43"/>
        <v>0</v>
      </c>
      <c r="AV209" s="257"/>
    </row>
    <row r="210" spans="1:61" s="239" customFormat="1" ht="12.75" customHeight="1" thickBot="1">
      <c r="B210" s="275" t="s">
        <v>320</v>
      </c>
      <c r="C210" s="327"/>
      <c r="D210" s="327"/>
      <c r="E210" s="327">
        <f t="shared" ref="E210:L210" si="69">SUM(E208:E209)</f>
        <v>905</v>
      </c>
      <c r="F210" s="327">
        <f t="shared" si="69"/>
        <v>1860</v>
      </c>
      <c r="G210" s="397">
        <f t="shared" si="69"/>
        <v>271.77512000000002</v>
      </c>
      <c r="H210" s="397">
        <f t="shared" si="69"/>
        <v>115.36464000000001</v>
      </c>
      <c r="I210" s="397">
        <f t="shared" si="69"/>
        <v>120.60000000000001</v>
      </c>
      <c r="J210" s="397">
        <f t="shared" si="69"/>
        <v>5.85</v>
      </c>
      <c r="K210" s="327">
        <f t="shared" si="69"/>
        <v>0</v>
      </c>
      <c r="L210" s="328">
        <f t="shared" si="69"/>
        <v>513.58976000000007</v>
      </c>
      <c r="M210" s="263"/>
      <c r="N210" s="264"/>
      <c r="O210" s="173"/>
      <c r="P210" s="173"/>
      <c r="Q210" s="264"/>
      <c r="R210" s="264"/>
      <c r="S210" s="271">
        <f>T210-L217</f>
        <v>97.746003200000018</v>
      </c>
      <c r="T210" s="271">
        <f>L217*1.1</f>
        <v>1075.2060352000001</v>
      </c>
      <c r="U210" s="265">
        <v>1137</v>
      </c>
      <c r="V210" s="266">
        <f>U210/L217</f>
        <v>1.1632189171700065</v>
      </c>
      <c r="W210" s="264"/>
      <c r="X210" s="264"/>
      <c r="Y210" s="264"/>
      <c r="Z210" s="264"/>
      <c r="AA210" s="115"/>
      <c r="AB210" s="115"/>
      <c r="AC210" s="385"/>
      <c r="AD210" s="385"/>
      <c r="AE210" s="385"/>
      <c r="AF210" s="305"/>
      <c r="AG210" s="305"/>
      <c r="AH210" s="307"/>
      <c r="AI210" s="307"/>
      <c r="AJ210" s="307"/>
      <c r="AK210" s="307"/>
      <c r="AL210" s="307"/>
      <c r="AM210" s="307"/>
      <c r="AN210" s="321"/>
      <c r="AO210" s="321"/>
      <c r="AP210" s="421"/>
      <c r="AQ210" s="321"/>
      <c r="AR210" s="422"/>
      <c r="AS210" s="521"/>
      <c r="AT210" s="302">
        <f>AD210+AE210+AF210+AH210+AM210</f>
        <v>0</v>
      </c>
      <c r="AU210" s="132">
        <f t="shared" si="43"/>
        <v>0</v>
      </c>
      <c r="AV210" s="257"/>
    </row>
    <row r="211" spans="1:61" s="239" customFormat="1" ht="12.75" customHeight="1">
      <c r="B211" s="309" t="s">
        <v>472</v>
      </c>
      <c r="C211" s="242"/>
      <c r="D211" s="242"/>
      <c r="E211" s="242"/>
      <c r="F211" s="242"/>
      <c r="G211" s="243"/>
      <c r="H211" s="243"/>
      <c r="I211" s="243"/>
      <c r="J211" s="243"/>
      <c r="K211" s="242"/>
      <c r="L211" s="244"/>
      <c r="M211" s="263">
        <f>E218</f>
        <v>0</v>
      </c>
      <c r="N211" s="264"/>
      <c r="O211" s="173"/>
      <c r="P211" s="173"/>
      <c r="Q211" s="264"/>
      <c r="R211" s="264"/>
      <c r="S211" s="264"/>
      <c r="T211" s="264"/>
      <c r="U211" s="265"/>
      <c r="V211" s="266"/>
      <c r="W211" s="264"/>
      <c r="X211" s="264"/>
      <c r="Y211" s="264"/>
      <c r="Z211" s="264"/>
      <c r="AA211" s="115"/>
      <c r="AB211" s="115"/>
      <c r="AC211" s="115"/>
      <c r="AD211" s="115"/>
      <c r="AE211" s="115"/>
      <c r="AF211" s="115"/>
      <c r="AG211" s="115"/>
      <c r="AH211" s="321"/>
      <c r="AI211" s="321"/>
      <c r="AJ211" s="321"/>
      <c r="AK211" s="321"/>
      <c r="AL211" s="321"/>
      <c r="AM211" s="269">
        <f>AA211-AB211-AD211-AE211-AF211-AH211</f>
        <v>0</v>
      </c>
      <c r="AN211" s="269">
        <f t="shared" ref="AN211:AN217" si="70">AA211-AB211</f>
        <v>0</v>
      </c>
      <c r="AO211" s="269">
        <f t="shared" ref="AO211:AO217" si="71">AD211+AE211+AF211+AG211+AH211+AL211+AM211</f>
        <v>0</v>
      </c>
      <c r="AP211" s="270">
        <f>(AM211+AL211)*0.3+(AG211+AF211+AE211+AD211)*0.6</f>
        <v>0</v>
      </c>
      <c r="AQ211" s="115">
        <f t="shared" ref="AQ211:AQ216" si="72">F211-AP211</f>
        <v>0</v>
      </c>
      <c r="AR211" s="303">
        <f>AP211*0.138562</f>
        <v>0</v>
      </c>
      <c r="AS211" s="322"/>
      <c r="AT211" s="316">
        <f>AD211+AE211+AF211+AH211+AM211</f>
        <v>0</v>
      </c>
      <c r="AU211" s="132">
        <f t="shared" ref="AU211:AU243" si="73">(AD211+AE211+AF211+AG211)*0.6+(AH211+AM211+AL211)*0.3</f>
        <v>0</v>
      </c>
      <c r="AV211" s="257"/>
    </row>
    <row r="212" spans="1:61" s="239" customFormat="1" ht="15" customHeight="1" thickBot="1">
      <c r="A212" s="325">
        <v>36</v>
      </c>
      <c r="B212" s="240" t="s">
        <v>473</v>
      </c>
      <c r="C212" s="392">
        <v>9</v>
      </c>
      <c r="D212" s="326">
        <v>1</v>
      </c>
      <c r="E212" s="326">
        <v>271</v>
      </c>
      <c r="F212" s="326">
        <v>1114</v>
      </c>
      <c r="G212" s="393">
        <f>E212*0.300304</f>
        <v>81.382384000000002</v>
      </c>
      <c r="H212" s="393">
        <f>F212*0.124048</f>
        <v>138.18947199999999</v>
      </c>
      <c r="I212" s="393">
        <f>40.2*D212</f>
        <v>40.200000000000003</v>
      </c>
      <c r="J212" s="393">
        <f>1.95*D212</f>
        <v>1.95</v>
      </c>
      <c r="K212" s="391"/>
      <c r="L212" s="394">
        <f>G212+H212+I212+J212+K212</f>
        <v>261.721856</v>
      </c>
      <c r="M212" s="263">
        <f>E212</f>
        <v>271</v>
      </c>
      <c r="N212" s="173">
        <f>E212/C212</f>
        <v>30.111111111111111</v>
      </c>
      <c r="O212" s="173">
        <f>N212*3</f>
        <v>90.333333333333329</v>
      </c>
      <c r="P212" s="173">
        <f>E212-O212</f>
        <v>180.66666666666669</v>
      </c>
      <c r="Q212" s="329"/>
      <c r="R212" s="329"/>
      <c r="S212" s="329"/>
      <c r="T212" s="329"/>
      <c r="U212" s="329">
        <f>1.0658*L212</f>
        <v>278.9431541248</v>
      </c>
      <c r="V212" s="330"/>
      <c r="W212" s="329"/>
      <c r="X212" s="329"/>
      <c r="Y212" s="329"/>
      <c r="Z212" s="329"/>
      <c r="AA212" s="331"/>
      <c r="AB212" s="333"/>
      <c r="AC212" s="333"/>
      <c r="AD212" s="556">
        <f>(23+12)*2</f>
        <v>70</v>
      </c>
      <c r="AE212" s="556">
        <f>5*5</f>
        <v>25</v>
      </c>
      <c r="AF212" s="557">
        <f>38*10*2+38*1.5+26*1.5+38+1.7*44</f>
        <v>968.8</v>
      </c>
      <c r="AG212" s="557"/>
      <c r="AH212" s="116">
        <f>2.5*13+25</f>
        <v>57.5</v>
      </c>
      <c r="AI212" s="116"/>
      <c r="AJ212" s="116"/>
      <c r="AK212" s="116"/>
      <c r="AL212" s="557"/>
      <c r="AM212" s="116">
        <f>38*38/2+10*18+25+24*26+100</f>
        <v>1651</v>
      </c>
      <c r="AN212" s="268">
        <f t="shared" si="70"/>
        <v>0</v>
      </c>
      <c r="AO212" s="269">
        <f t="shared" si="71"/>
        <v>2772.3</v>
      </c>
      <c r="AP212" s="270">
        <f>(AM212+AL212+AH212)*0.3+(AG212+AF212+AE212+AD212)*0.6</f>
        <v>1150.83</v>
      </c>
      <c r="AQ212" s="115">
        <f t="shared" si="72"/>
        <v>-36.829999999999927</v>
      </c>
      <c r="AR212" s="333"/>
      <c r="AS212" s="556">
        <f>AM212+AH212</f>
        <v>1708.5</v>
      </c>
      <c r="AT212" s="256">
        <f>AD212+AE212+AF212+AS212+AG212+AL212</f>
        <v>2772.3</v>
      </c>
      <c r="AU212" s="132">
        <f t="shared" si="73"/>
        <v>1150.83</v>
      </c>
      <c r="AV212" s="257"/>
    </row>
    <row r="213" spans="1:61" s="239" customFormat="1" ht="10.5" customHeight="1">
      <c r="B213" s="350" t="s">
        <v>474</v>
      </c>
      <c r="C213" s="242"/>
      <c r="D213" s="242"/>
      <c r="E213" s="242"/>
      <c r="F213" s="242"/>
      <c r="G213" s="243"/>
      <c r="H213" s="243"/>
      <c r="I213" s="243"/>
      <c r="J213" s="243"/>
      <c r="K213" s="242"/>
      <c r="L213" s="244"/>
      <c r="M213" s="263">
        <f>E220</f>
        <v>0</v>
      </c>
      <c r="N213" s="264"/>
      <c r="O213" s="173"/>
      <c r="P213" s="173"/>
      <c r="Q213" s="264"/>
      <c r="R213" s="264"/>
      <c r="S213" s="264"/>
      <c r="T213" s="264"/>
      <c r="U213" s="265"/>
      <c r="V213" s="266"/>
      <c r="W213" s="264"/>
      <c r="X213" s="264"/>
      <c r="Y213" s="264"/>
      <c r="Z213" s="264"/>
      <c r="AA213" s="115"/>
      <c r="AB213" s="115"/>
      <c r="AC213" s="385"/>
      <c r="AD213" s="385"/>
      <c r="AE213" s="385"/>
      <c r="AF213" s="385"/>
      <c r="AG213" s="385"/>
      <c r="AH213" s="307"/>
      <c r="AI213" s="307"/>
      <c r="AJ213" s="307"/>
      <c r="AK213" s="307"/>
      <c r="AL213" s="307"/>
      <c r="AM213" s="300">
        <f>AA213-AB213-AD213-AE213-AF213-AH213</f>
        <v>0</v>
      </c>
      <c r="AN213" s="269">
        <f t="shared" si="70"/>
        <v>0</v>
      </c>
      <c r="AO213" s="269">
        <f t="shared" si="71"/>
        <v>0</v>
      </c>
      <c r="AP213" s="270">
        <f>(AM213+AL213)*0.3+(AG213+AF213+AE213+AD213)*0.6</f>
        <v>0</v>
      </c>
      <c r="AQ213" s="115">
        <f t="shared" si="72"/>
        <v>0</v>
      </c>
      <c r="AR213" s="303">
        <f>AP213*0.138562</f>
        <v>0</v>
      </c>
      <c r="AS213" s="395"/>
      <c r="AT213" s="302">
        <f>AD213+AE213+AF213+AH213+AM213</f>
        <v>0</v>
      </c>
      <c r="AU213" s="132">
        <f t="shared" si="73"/>
        <v>0</v>
      </c>
      <c r="AV213" s="257"/>
    </row>
    <row r="214" spans="1:61" s="239" customFormat="1" ht="15" customHeight="1">
      <c r="A214" s="325">
        <v>36</v>
      </c>
      <c r="B214" s="240" t="s">
        <v>475</v>
      </c>
      <c r="C214" s="272">
        <v>9</v>
      </c>
      <c r="D214" s="260">
        <v>1</v>
      </c>
      <c r="E214" s="260">
        <v>264</v>
      </c>
      <c r="F214" s="260">
        <v>1114</v>
      </c>
      <c r="G214" s="261">
        <f>E214*0.300304</f>
        <v>79.280256000000008</v>
      </c>
      <c r="H214" s="261">
        <f>F214*0.124048</f>
        <v>138.18947199999999</v>
      </c>
      <c r="I214" s="261">
        <f>40.2*D214</f>
        <v>40.200000000000003</v>
      </c>
      <c r="J214" s="261">
        <f>1.95*D214</f>
        <v>1.95</v>
      </c>
      <c r="K214" s="259"/>
      <c r="L214" s="262">
        <f>G214+H214+I214+J214+K214</f>
        <v>259.61972800000001</v>
      </c>
      <c r="M214" s="263">
        <f>E214</f>
        <v>264</v>
      </c>
      <c r="N214" s="173">
        <f>E214/C214</f>
        <v>29.333333333333332</v>
      </c>
      <c r="O214" s="173">
        <f>N214*3</f>
        <v>88</v>
      </c>
      <c r="P214" s="173">
        <f>E214-O214</f>
        <v>176</v>
      </c>
      <c r="Q214" s="329"/>
      <c r="R214" s="329"/>
      <c r="S214" s="329"/>
      <c r="T214" s="329"/>
      <c r="U214" s="329">
        <f>1.0658*L214</f>
        <v>276.70270610240004</v>
      </c>
      <c r="V214" s="330"/>
      <c r="W214" s="329"/>
      <c r="X214" s="329"/>
      <c r="Y214" s="329"/>
      <c r="Z214" s="329"/>
      <c r="AA214" s="331"/>
      <c r="AB214" s="333"/>
      <c r="AC214" s="333"/>
      <c r="AD214" s="556">
        <f>(23+12)*2</f>
        <v>70</v>
      </c>
      <c r="AE214" s="556">
        <f>5*5</f>
        <v>25</v>
      </c>
      <c r="AF214" s="557">
        <f>22*2+60*3.7+60+5*4+10*12+1.8*36+6*24+15*1.5+22*2</f>
        <v>741.3</v>
      </c>
      <c r="AG214" s="557"/>
      <c r="AH214" s="522">
        <f>25*13+25</f>
        <v>350</v>
      </c>
      <c r="AI214" s="522"/>
      <c r="AJ214" s="522"/>
      <c r="AK214" s="522"/>
      <c r="AL214" s="557"/>
      <c r="AM214" s="522">
        <f>100+22*13+150+6*20/2-15*1.5+120+22*10+18*36</f>
        <v>1561.5</v>
      </c>
      <c r="AN214" s="268">
        <f t="shared" si="70"/>
        <v>0</v>
      </c>
      <c r="AO214" s="269">
        <f t="shared" si="71"/>
        <v>2747.8</v>
      </c>
      <c r="AP214" s="270">
        <f>(AM214+AL214+AH214)*0.3+(AG214+AF214+AE214+AD214)*0.6</f>
        <v>1075.23</v>
      </c>
      <c r="AQ214" s="115">
        <f t="shared" si="72"/>
        <v>38.769999999999982</v>
      </c>
      <c r="AR214" s="333"/>
      <c r="AS214" s="556">
        <f>AM214+AH214</f>
        <v>1911.5</v>
      </c>
      <c r="AT214" s="256">
        <f>AD214+AE214+AF214+AS214+AG214+AL214</f>
        <v>2747.8</v>
      </c>
      <c r="AU214" s="132">
        <f t="shared" si="73"/>
        <v>1075.23</v>
      </c>
      <c r="AV214" s="257"/>
    </row>
    <row r="215" spans="1:61" s="239" customFormat="1" ht="15" customHeight="1">
      <c r="A215" s="239">
        <v>60</v>
      </c>
      <c r="B215" s="523" t="s">
        <v>476</v>
      </c>
      <c r="C215" s="258">
        <v>5</v>
      </c>
      <c r="D215" s="259">
        <v>4</v>
      </c>
      <c r="E215" s="259">
        <v>270</v>
      </c>
      <c r="F215" s="259">
        <v>3100</v>
      </c>
      <c r="G215" s="261">
        <f>E215*0.300304</f>
        <v>81.082080000000005</v>
      </c>
      <c r="H215" s="261">
        <f>F215*0.124048</f>
        <v>384.54880000000003</v>
      </c>
      <c r="I215" s="261"/>
      <c r="J215" s="261"/>
      <c r="K215" s="259"/>
      <c r="L215" s="262">
        <f>SUM(G215:K215)</f>
        <v>465.63088000000005</v>
      </c>
      <c r="M215" s="263">
        <f t="shared" ref="M215:M220" si="74">E222</f>
        <v>387</v>
      </c>
      <c r="N215" s="173">
        <f>E222/C222</f>
        <v>77.400000000000006</v>
      </c>
      <c r="O215" s="173">
        <f>N215*3</f>
        <v>232.20000000000002</v>
      </c>
      <c r="P215" s="173">
        <f>E222-O215</f>
        <v>154.79999999999998</v>
      </c>
      <c r="Q215" s="264"/>
      <c r="R215" s="264"/>
      <c r="S215" s="264"/>
      <c r="T215" s="264"/>
      <c r="U215" s="265">
        <f>1.1436*L222</f>
        <v>586.86263921279999</v>
      </c>
      <c r="V215" s="266"/>
      <c r="W215" s="264"/>
      <c r="X215" s="264"/>
      <c r="Y215" s="264"/>
      <c r="Z215" s="264"/>
      <c r="AA215" s="115">
        <v>2818.64</v>
      </c>
      <c r="AB215" s="267">
        <f>12*56</f>
        <v>672</v>
      </c>
      <c r="AC215" s="251"/>
      <c r="AD215" s="562">
        <v>136</v>
      </c>
      <c r="AE215" s="562">
        <f>3*5*4</f>
        <v>60</v>
      </c>
      <c r="AF215" s="563">
        <f>56*3.5+1.5*4</f>
        <v>202</v>
      </c>
      <c r="AG215" s="563"/>
      <c r="AH215" s="524">
        <f>4*5*2+4*11+4*6.5+6*6+11*4*3</f>
        <v>278</v>
      </c>
      <c r="AI215" s="524"/>
      <c r="AJ215" s="524"/>
      <c r="AK215" s="524"/>
      <c r="AL215" s="563">
        <f>30*30</f>
        <v>900</v>
      </c>
      <c r="AM215" s="525">
        <f>AA215-AB215-AD215-AE215-AF215-AH215</f>
        <v>1470.6399999999999</v>
      </c>
      <c r="AN215" s="268">
        <f t="shared" si="70"/>
        <v>2146.64</v>
      </c>
      <c r="AO215" s="269">
        <f t="shared" si="71"/>
        <v>3046.64</v>
      </c>
      <c r="AP215" s="270">
        <f>(AM215+AL215)*0.3+(AG215+AF215+AE215+AD215)*0.6</f>
        <v>949.99199999999985</v>
      </c>
      <c r="AQ215" s="115">
        <f t="shared" si="72"/>
        <v>2150.0080000000003</v>
      </c>
      <c r="AR215" s="303">
        <f>AP215*0.138562</f>
        <v>131.63279150399998</v>
      </c>
      <c r="AS215" s="562">
        <f>AM215+AH215</f>
        <v>1748.6399999999999</v>
      </c>
      <c r="AT215" s="256">
        <f>AD215+AE215+AF215+AS215+AG215+AL215</f>
        <v>3046.64</v>
      </c>
      <c r="AU215" s="132">
        <f t="shared" si="73"/>
        <v>1033.3920000000001</v>
      </c>
      <c r="AV215" s="257"/>
    </row>
    <row r="216" spans="1:61" s="239" customFormat="1" ht="15" customHeight="1">
      <c r="A216" s="239">
        <v>60</v>
      </c>
      <c r="B216" s="240" t="s">
        <v>477</v>
      </c>
      <c r="C216" s="258">
        <v>5</v>
      </c>
      <c r="D216" s="259">
        <v>4</v>
      </c>
      <c r="E216" s="259">
        <v>276</v>
      </c>
      <c r="F216" s="259">
        <v>1365</v>
      </c>
      <c r="G216" s="261">
        <f>E216*0.300304</f>
        <v>82.883904000000001</v>
      </c>
      <c r="H216" s="261">
        <f>F216*0.124048</f>
        <v>169.32552000000001</v>
      </c>
      <c r="I216" s="261"/>
      <c r="J216" s="261"/>
      <c r="K216" s="259"/>
      <c r="L216" s="262">
        <f>SUM(G216:K216)</f>
        <v>252.20942400000001</v>
      </c>
      <c r="M216" s="263">
        <f t="shared" si="74"/>
        <v>911</v>
      </c>
      <c r="N216" s="173" t="e">
        <f>E223/C223</f>
        <v>#DIV/0!</v>
      </c>
      <c r="O216" s="173" t="e">
        <f>N216*3</f>
        <v>#DIV/0!</v>
      </c>
      <c r="P216" s="173" t="e">
        <f>E223-O216</f>
        <v>#DIV/0!</v>
      </c>
      <c r="Q216" s="264"/>
      <c r="R216" s="264"/>
      <c r="S216" s="264"/>
      <c r="T216" s="264"/>
      <c r="U216" s="265">
        <f>1.1436*L223</f>
        <v>1005.0855029183998</v>
      </c>
      <c r="V216" s="266"/>
      <c r="W216" s="264"/>
      <c r="X216" s="264"/>
      <c r="Y216" s="264"/>
      <c r="Z216" s="264"/>
      <c r="AA216" s="115">
        <v>2090</v>
      </c>
      <c r="AB216" s="267">
        <v>560</v>
      </c>
      <c r="AC216" s="267"/>
      <c r="AD216" s="556">
        <v>132</v>
      </c>
      <c r="AE216" s="556">
        <f>3.5*6*4</f>
        <v>84</v>
      </c>
      <c r="AF216" s="557">
        <f>84*4</f>
        <v>336</v>
      </c>
      <c r="AG216" s="557"/>
      <c r="AH216" s="118">
        <f>11*4*3</f>
        <v>132</v>
      </c>
      <c r="AI216" s="118"/>
      <c r="AJ216" s="118"/>
      <c r="AK216" s="118"/>
      <c r="AL216" s="557">
        <v>30</v>
      </c>
      <c r="AM216" s="116">
        <f>AA216-AB216-AD216-AE216-AF216-AH216</f>
        <v>846</v>
      </c>
      <c r="AN216" s="268">
        <f t="shared" si="70"/>
        <v>1530</v>
      </c>
      <c r="AO216" s="269">
        <f t="shared" si="71"/>
        <v>1560</v>
      </c>
      <c r="AP216" s="270">
        <f>(AM216+AL216)*0.3+(AG216+AF216+AE216+AD216)*0.6</f>
        <v>594</v>
      </c>
      <c r="AQ216" s="115">
        <f t="shared" si="72"/>
        <v>771</v>
      </c>
      <c r="AR216" s="303">
        <f>AP216*0.138562</f>
        <v>82.305827999999991</v>
      </c>
      <c r="AS216" s="556">
        <f>AM216+AH216</f>
        <v>978</v>
      </c>
      <c r="AT216" s="256">
        <f>AD216+AE216+AF216+AS216+AG216+AL216</f>
        <v>1560</v>
      </c>
      <c r="AU216" s="132">
        <f t="shared" si="73"/>
        <v>633.59999999999991</v>
      </c>
      <c r="AV216" s="257"/>
    </row>
    <row r="217" spans="1:61" s="239" customFormat="1" ht="13.5" customHeight="1" thickBot="1">
      <c r="B217" s="275" t="s">
        <v>320</v>
      </c>
      <c r="C217" s="391"/>
      <c r="D217" s="391"/>
      <c r="E217" s="327">
        <f>SUM(E214:E216)</f>
        <v>810</v>
      </c>
      <c r="F217" s="327">
        <f>SUM(F214:F216)</f>
        <v>5579</v>
      </c>
      <c r="G217" s="397">
        <f>SUM(G214:G216)</f>
        <v>243.24624000000003</v>
      </c>
      <c r="H217" s="397">
        <f>SUM(H214:H216)</f>
        <v>692.06379200000003</v>
      </c>
      <c r="I217" s="397"/>
      <c r="J217" s="397"/>
      <c r="K217" s="327">
        <f>SUM(K214:K216)</f>
        <v>0</v>
      </c>
      <c r="L217" s="328">
        <f>SUM(L214:L216)</f>
        <v>977.46003200000007</v>
      </c>
      <c r="M217" s="263">
        <f t="shared" si="74"/>
        <v>0</v>
      </c>
      <c r="N217" s="264"/>
      <c r="O217" s="173"/>
      <c r="P217" s="173"/>
      <c r="Q217" s="264"/>
      <c r="R217" s="264"/>
      <c r="S217" s="264"/>
      <c r="T217" s="264"/>
      <c r="U217" s="265"/>
      <c r="V217" s="266"/>
      <c r="W217" s="264"/>
      <c r="X217" s="264"/>
      <c r="Y217" s="264"/>
      <c r="Z217" s="264"/>
      <c r="AA217" s="115"/>
      <c r="AB217" s="115"/>
      <c r="AC217" s="385"/>
      <c r="AD217" s="385"/>
      <c r="AE217" s="385"/>
      <c r="AF217" s="341"/>
      <c r="AG217" s="341"/>
      <c r="AH217" s="307"/>
      <c r="AI217" s="307"/>
      <c r="AJ217" s="307"/>
      <c r="AK217" s="307"/>
      <c r="AL217" s="307"/>
      <c r="AM217" s="300">
        <f>AA217-AB217-AD217-AE217-AF217-AH217</f>
        <v>0</v>
      </c>
      <c r="AN217" s="269">
        <f t="shared" si="70"/>
        <v>0</v>
      </c>
      <c r="AO217" s="269">
        <f t="shared" si="71"/>
        <v>0</v>
      </c>
      <c r="AP217" s="270">
        <f>(AM217+AL217)*0.3+(AG217+AF217+AE217+AD217)*0.6</f>
        <v>0</v>
      </c>
      <c r="AQ217" s="115"/>
      <c r="AR217" s="303"/>
      <c r="AS217" s="308"/>
      <c r="AT217" s="302">
        <f>AD217+AE217+AF217+AH217+AM217</f>
        <v>0</v>
      </c>
      <c r="AU217" s="132">
        <f t="shared" si="73"/>
        <v>0</v>
      </c>
      <c r="AV217" s="257"/>
    </row>
    <row r="218" spans="1:61" s="239" customFormat="1" ht="13.5" customHeight="1">
      <c r="B218" s="309" t="s">
        <v>478</v>
      </c>
      <c r="C218" s="242"/>
      <c r="D218" s="242"/>
      <c r="E218" s="242"/>
      <c r="F218" s="242"/>
      <c r="G218" s="243"/>
      <c r="H218" s="243"/>
      <c r="I218" s="243"/>
      <c r="J218" s="243"/>
      <c r="K218" s="242"/>
      <c r="L218" s="244"/>
      <c r="M218" s="263">
        <f t="shared" si="74"/>
        <v>304</v>
      </c>
      <c r="N218" s="173">
        <f>E225/C225</f>
        <v>60.8</v>
      </c>
      <c r="O218" s="173">
        <f>N218*3</f>
        <v>182.39999999999998</v>
      </c>
      <c r="P218" s="173">
        <f>E225-O218</f>
        <v>121.60000000000002</v>
      </c>
      <c r="Q218" s="264"/>
      <c r="R218" s="264"/>
      <c r="S218" s="264"/>
      <c r="T218" s="264"/>
      <c r="U218" s="265">
        <f>0.5891*L225</f>
        <v>295.3820542656</v>
      </c>
      <c r="V218" s="266"/>
      <c r="W218" s="264"/>
      <c r="X218" s="264"/>
      <c r="Y218" s="264"/>
      <c r="Z218" s="264"/>
      <c r="AA218" s="115"/>
      <c r="AB218" s="115"/>
      <c r="AC218" s="115"/>
      <c r="AD218" s="115"/>
      <c r="AE218" s="115"/>
      <c r="AF218" s="115"/>
      <c r="AG218" s="115"/>
      <c r="AH218" s="321"/>
      <c r="AI218" s="321"/>
      <c r="AJ218" s="321"/>
      <c r="AK218" s="321"/>
      <c r="AL218" s="321"/>
      <c r="AM218" s="321"/>
      <c r="AN218" s="321"/>
      <c r="AO218" s="321"/>
      <c r="AP218" s="421"/>
      <c r="AQ218" s="321"/>
      <c r="AR218" s="422"/>
      <c r="AS218" s="423"/>
      <c r="AT218" s="316">
        <f>AD218+AE218+AF218+AH218+AM218</f>
        <v>0</v>
      </c>
      <c r="AU218" s="132">
        <f t="shared" si="73"/>
        <v>0</v>
      </c>
      <c r="AV218" s="257"/>
    </row>
    <row r="219" spans="1:61" s="239" customFormat="1" ht="15" customHeight="1" thickBot="1">
      <c r="A219" s="239">
        <v>60</v>
      </c>
      <c r="B219" s="240" t="s">
        <v>479</v>
      </c>
      <c r="C219" s="409">
        <v>5</v>
      </c>
      <c r="D219" s="391">
        <v>4</v>
      </c>
      <c r="E219" s="391">
        <v>280</v>
      </c>
      <c r="F219" s="391">
        <v>1218</v>
      </c>
      <c r="G219" s="393">
        <f>E219*0.300304</f>
        <v>84.085120000000003</v>
      </c>
      <c r="H219" s="393">
        <f>F219*0.124048</f>
        <v>151.090464</v>
      </c>
      <c r="I219" s="393"/>
      <c r="J219" s="393"/>
      <c r="K219" s="391"/>
      <c r="L219" s="394">
        <f>SUM(G219:K219)</f>
        <v>235.17558400000001</v>
      </c>
      <c r="M219" s="263">
        <f t="shared" si="74"/>
        <v>293</v>
      </c>
      <c r="N219" s="173">
        <f>E226/C226</f>
        <v>58.6</v>
      </c>
      <c r="O219" s="173">
        <f>N219*3</f>
        <v>175.8</v>
      </c>
      <c r="P219" s="173">
        <f>E226-O219</f>
        <v>117.19999999999999</v>
      </c>
      <c r="Q219" s="264"/>
      <c r="R219" s="264"/>
      <c r="S219" s="264"/>
      <c r="T219" s="264"/>
      <c r="U219" s="265">
        <f>1.1436*L226</f>
        <v>426.90527617920003</v>
      </c>
      <c r="V219" s="266"/>
      <c r="W219" s="264"/>
      <c r="X219" s="264"/>
      <c r="Y219" s="264"/>
      <c r="Z219" s="264"/>
      <c r="AA219" s="115">
        <v>2655</v>
      </c>
      <c r="AB219" s="267">
        <v>728</v>
      </c>
      <c r="AC219" s="267"/>
      <c r="AD219" s="556">
        <v>138</v>
      </c>
      <c r="AE219" s="556">
        <f>3*5*4</f>
        <v>60</v>
      </c>
      <c r="AF219" s="557">
        <f>12*6+69*7</f>
        <v>555</v>
      </c>
      <c r="AG219" s="557"/>
      <c r="AH219" s="118">
        <f>11*5*4</f>
        <v>220</v>
      </c>
      <c r="AI219" s="118"/>
      <c r="AJ219" s="118"/>
      <c r="AK219" s="118"/>
      <c r="AL219" s="557">
        <f>2*13+2*59</f>
        <v>144</v>
      </c>
      <c r="AM219" s="116">
        <f>AA219-AB219-AD219-AE219-AF219-AH219</f>
        <v>954</v>
      </c>
      <c r="AN219" s="268">
        <f>AA219-AB219</f>
        <v>1927</v>
      </c>
      <c r="AO219" s="269">
        <f>AD219+AE219+AF219+AG219+AH219+AL219+AM219</f>
        <v>2071</v>
      </c>
      <c r="AP219" s="270">
        <f>(AM219+AL219)*0.3+(AG219+AF219+AE219+AD219)*0.6</f>
        <v>781.2</v>
      </c>
      <c r="AQ219" s="115">
        <f>F219-AP219</f>
        <v>436.79999999999995</v>
      </c>
      <c r="AR219" s="303">
        <f>AP219*0.138562</f>
        <v>108.2446344</v>
      </c>
      <c r="AS219" s="556">
        <f>AM219+AH219</f>
        <v>1174</v>
      </c>
      <c r="AT219" s="256">
        <f>AD219+AE219+AF219+AS219+AG219+AL219</f>
        <v>2071</v>
      </c>
      <c r="AU219" s="132">
        <f t="shared" si="73"/>
        <v>847.2</v>
      </c>
      <c r="AV219" s="257"/>
    </row>
    <row r="220" spans="1:61" s="239" customFormat="1" ht="13.5" customHeight="1">
      <c r="B220" s="350" t="s">
        <v>480</v>
      </c>
      <c r="C220" s="242"/>
      <c r="D220" s="242"/>
      <c r="E220" s="242"/>
      <c r="F220" s="242"/>
      <c r="G220" s="243"/>
      <c r="H220" s="243"/>
      <c r="I220" s="243"/>
      <c r="J220" s="243"/>
      <c r="K220" s="242"/>
      <c r="L220" s="244"/>
      <c r="M220" s="263">
        <f t="shared" si="74"/>
        <v>205</v>
      </c>
      <c r="N220" s="173">
        <f>E227/C227</f>
        <v>41</v>
      </c>
      <c r="O220" s="173">
        <f>N220*3</f>
        <v>123</v>
      </c>
      <c r="P220" s="173">
        <f>E227-O220</f>
        <v>82</v>
      </c>
      <c r="Q220" s="264"/>
      <c r="R220" s="264"/>
      <c r="S220" s="264"/>
      <c r="T220" s="264"/>
      <c r="U220" s="265">
        <f>0.5891*L227</f>
        <v>131.26604255199999</v>
      </c>
      <c r="V220" s="266"/>
      <c r="W220" s="264"/>
      <c r="X220" s="264"/>
      <c r="Y220" s="264"/>
      <c r="Z220" s="264"/>
      <c r="AA220" s="115"/>
      <c r="AB220" s="115"/>
      <c r="AC220" s="385"/>
      <c r="AD220" s="385"/>
      <c r="AE220" s="385"/>
      <c r="AF220" s="385"/>
      <c r="AG220" s="385"/>
      <c r="AH220" s="307"/>
      <c r="AI220" s="307"/>
      <c r="AJ220" s="307"/>
      <c r="AK220" s="307"/>
      <c r="AL220" s="307"/>
      <c r="AM220" s="307"/>
      <c r="AN220" s="321"/>
      <c r="AO220" s="321"/>
      <c r="AP220" s="421"/>
      <c r="AQ220" s="321"/>
      <c r="AR220" s="422"/>
      <c r="AS220" s="464"/>
      <c r="AT220" s="302">
        <f>AD220+AE220+AF220+AH220+AM220</f>
        <v>0</v>
      </c>
      <c r="AU220" s="132">
        <f t="shared" si="73"/>
        <v>0</v>
      </c>
      <c r="AV220" s="257"/>
    </row>
    <row r="221" spans="1:61" s="378" customFormat="1" ht="15" customHeight="1">
      <c r="A221" s="239">
        <v>64</v>
      </c>
      <c r="B221" s="240" t="s">
        <v>481</v>
      </c>
      <c r="C221" s="258">
        <v>9</v>
      </c>
      <c r="D221" s="259">
        <v>2</v>
      </c>
      <c r="E221" s="259">
        <v>524</v>
      </c>
      <c r="F221" s="259">
        <v>1000</v>
      </c>
      <c r="G221" s="261">
        <f>E221*0.300304</f>
        <v>157.359296</v>
      </c>
      <c r="H221" s="261">
        <f>F221*0.124048</f>
        <v>124.048</v>
      </c>
      <c r="I221" s="261">
        <f>40.2*D221</f>
        <v>80.400000000000006</v>
      </c>
      <c r="J221" s="261">
        <f>1.95*D221</f>
        <v>3.9</v>
      </c>
      <c r="K221" s="259"/>
      <c r="L221" s="262">
        <f>SUM(G221:K221)</f>
        <v>365.70729599999993</v>
      </c>
      <c r="M221" s="411"/>
      <c r="N221" s="264"/>
      <c r="O221" s="264" t="s">
        <v>482</v>
      </c>
      <c r="P221" s="173" t="s">
        <v>483</v>
      </c>
      <c r="Q221" s="264"/>
      <c r="R221" s="264"/>
      <c r="S221" s="271">
        <f>T221-L228</f>
        <v>109.75366080000003</v>
      </c>
      <c r="T221" s="271">
        <f>L228*1.1</f>
        <v>1207.2902688000001</v>
      </c>
      <c r="U221" s="265">
        <v>1348.05</v>
      </c>
      <c r="V221" s="266">
        <f>U221/L228</f>
        <v>1.2282506024619089</v>
      </c>
      <c r="W221" s="264"/>
      <c r="X221" s="264"/>
      <c r="Y221" s="264"/>
      <c r="Z221" s="264"/>
      <c r="AA221" s="115">
        <v>1794.08</v>
      </c>
      <c r="AB221" s="267">
        <f>11*44</f>
        <v>484</v>
      </c>
      <c r="AC221" s="267"/>
      <c r="AD221" s="556">
        <f>(11+44)*2</f>
        <v>110</v>
      </c>
      <c r="AE221" s="556">
        <f>3*5.5*2+3.5*4*2</f>
        <v>61</v>
      </c>
      <c r="AF221" s="557">
        <f>44*3*2</f>
        <v>264</v>
      </c>
      <c r="AG221" s="557">
        <f>2.5*11</f>
        <v>27.5</v>
      </c>
      <c r="AH221" s="118">
        <f>10*4+19*4</f>
        <v>116</v>
      </c>
      <c r="AI221" s="118"/>
      <c r="AJ221" s="118"/>
      <c r="AK221" s="118"/>
      <c r="AL221" s="557">
        <f>5*11+5*44+5*44</f>
        <v>495</v>
      </c>
      <c r="AM221" s="116">
        <f>AA221-AB221-AD221-AE221-AF221-AH221</f>
        <v>759.07999999999993</v>
      </c>
      <c r="AN221" s="268">
        <f>AA221-AB221</f>
        <v>1310.08</v>
      </c>
      <c r="AO221" s="269">
        <f>AD221+AE221+AF221+AG221+AH221+AL221+AM221</f>
        <v>1832.58</v>
      </c>
      <c r="AP221" s="270">
        <f>(AM221+AL221)*0.3+(AG221+AF221+AE221+AD221)*0.6</f>
        <v>653.72399999999993</v>
      </c>
      <c r="AQ221" s="115">
        <f>F221-AP221</f>
        <v>346.27600000000007</v>
      </c>
      <c r="AR221" s="303">
        <f>AP221*0.138562</f>
        <v>90.581304887999991</v>
      </c>
      <c r="AS221" s="556">
        <f>AM221+AH221</f>
        <v>875.07999999999993</v>
      </c>
      <c r="AT221" s="256">
        <f>AD221+AE221+AF221+AS221+AG221+AL221</f>
        <v>1832.58</v>
      </c>
      <c r="AU221" s="132">
        <f t="shared" si="73"/>
        <v>688.52399999999989</v>
      </c>
      <c r="AV221" s="257"/>
      <c r="AW221" s="239"/>
      <c r="AX221" s="239"/>
      <c r="AY221" s="239"/>
      <c r="AZ221" s="239"/>
      <c r="BA221" s="239"/>
      <c r="BB221" s="239"/>
      <c r="BC221" s="239"/>
      <c r="BD221" s="239"/>
      <c r="BE221" s="239"/>
      <c r="BF221" s="239"/>
      <c r="BG221" s="239"/>
      <c r="BH221" s="239"/>
      <c r="BI221" s="239"/>
    </row>
    <row r="222" spans="1:61" s="239" customFormat="1" ht="15" customHeight="1">
      <c r="A222" s="239">
        <v>100</v>
      </c>
      <c r="B222" s="240" t="s">
        <v>484</v>
      </c>
      <c r="C222" s="258">
        <v>5</v>
      </c>
      <c r="D222" s="259">
        <v>6</v>
      </c>
      <c r="E222" s="259">
        <v>387</v>
      </c>
      <c r="F222" s="259">
        <v>3200</v>
      </c>
      <c r="G222" s="261">
        <f>E222*0.300304</f>
        <v>116.21764800000001</v>
      </c>
      <c r="H222" s="261">
        <f>F222*0.124048</f>
        <v>396.95359999999999</v>
      </c>
      <c r="I222" s="259"/>
      <c r="J222" s="259"/>
      <c r="K222" s="259"/>
      <c r="L222" s="384">
        <f>SUM(G222:K222)</f>
        <v>513.17124799999999</v>
      </c>
      <c r="M222" s="263"/>
      <c r="N222" s="264"/>
      <c r="O222" s="173"/>
      <c r="P222" s="173"/>
      <c r="Q222" s="264"/>
      <c r="R222" s="264"/>
      <c r="S222" s="271">
        <f>T222-L227</f>
        <v>22.282472000000013</v>
      </c>
      <c r="T222" s="271">
        <f>L227*1.1</f>
        <v>245.10719200000003</v>
      </c>
      <c r="U222" s="265">
        <f>1253.65</f>
        <v>1253.6500000000001</v>
      </c>
      <c r="V222" s="266">
        <f>U222/L227</f>
        <v>5.6261710998671965</v>
      </c>
      <c r="W222" s="264"/>
      <c r="X222" s="264"/>
      <c r="Y222" s="264"/>
      <c r="Z222" s="264"/>
      <c r="AA222" s="115">
        <v>3934.12</v>
      </c>
      <c r="AB222" s="267">
        <f>1178</f>
        <v>1178</v>
      </c>
      <c r="AC222" s="267"/>
      <c r="AD222" s="556">
        <f>(95+12.4)*2</f>
        <v>214.8</v>
      </c>
      <c r="AE222" s="556">
        <f>4.4*4.4*6</f>
        <v>116.16000000000003</v>
      </c>
      <c r="AF222" s="557">
        <f>28.3*2.7+3.3*81+9.6*4.8+12.2*7.7+5.4*10.7</f>
        <v>541.51</v>
      </c>
      <c r="AG222" s="557"/>
      <c r="AH222" s="118">
        <f>4.4*8+10.3*4.4*4+13*4.4+12.5*4.4+5.5*13</f>
        <v>400.18</v>
      </c>
      <c r="AI222" s="118"/>
      <c r="AJ222" s="118"/>
      <c r="AK222" s="118"/>
      <c r="AL222" s="557">
        <v>535</v>
      </c>
      <c r="AM222" s="116">
        <f>AA222-AB222-AD222-AE222-AF222-AH222</f>
        <v>1483.4699999999998</v>
      </c>
      <c r="AN222" s="268">
        <f>AA222-AB222</f>
        <v>2756.12</v>
      </c>
      <c r="AO222" s="269">
        <f>AD222+AE222+AF222+AG222+AH222+AL222+AM222</f>
        <v>3291.12</v>
      </c>
      <c r="AP222" s="270">
        <f>(AM222+AL222+AH222)*0.3+(AG222+AF222+AE222+AD222)*0.6</f>
        <v>1249.0769999999998</v>
      </c>
      <c r="AQ222" s="115">
        <f>F222-AP222</f>
        <v>1950.9230000000002</v>
      </c>
      <c r="AR222" s="267"/>
      <c r="AS222" s="556">
        <f>AM222+AH222</f>
        <v>1883.6499999999999</v>
      </c>
      <c r="AT222" s="256">
        <f>AD222+AE222+AF222+AS222+AG222+AL222</f>
        <v>3291.12</v>
      </c>
      <c r="AU222" s="132">
        <f t="shared" si="73"/>
        <v>1249.0769999999998</v>
      </c>
      <c r="AV222" s="257"/>
    </row>
    <row r="223" spans="1:61" s="239" customFormat="1" ht="12.75" customHeight="1" thickBot="1">
      <c r="B223" s="275" t="s">
        <v>320</v>
      </c>
      <c r="C223" s="391"/>
      <c r="D223" s="391"/>
      <c r="E223" s="327">
        <f t="shared" ref="E223:L223" si="75">SUM(E221:E222)</f>
        <v>911</v>
      </c>
      <c r="F223" s="327">
        <f t="shared" si="75"/>
        <v>4200</v>
      </c>
      <c r="G223" s="397">
        <f t="shared" si="75"/>
        <v>273.57694400000003</v>
      </c>
      <c r="H223" s="397">
        <f t="shared" si="75"/>
        <v>521.00160000000005</v>
      </c>
      <c r="I223" s="397">
        <f t="shared" si="75"/>
        <v>80.400000000000006</v>
      </c>
      <c r="J223" s="397">
        <f t="shared" si="75"/>
        <v>3.9</v>
      </c>
      <c r="K223" s="327">
        <f t="shared" si="75"/>
        <v>0</v>
      </c>
      <c r="L223" s="328">
        <f t="shared" si="75"/>
        <v>878.87854399999992</v>
      </c>
      <c r="M223" s="263">
        <f>E230</f>
        <v>207</v>
      </c>
      <c r="N223" s="173">
        <f>E230/C230</f>
        <v>41.4</v>
      </c>
      <c r="O223" s="173">
        <f>N223*3</f>
        <v>124.19999999999999</v>
      </c>
      <c r="P223" s="173">
        <f>E230-O223</f>
        <v>82.800000000000011</v>
      </c>
      <c r="Q223" s="264"/>
      <c r="R223" s="264"/>
      <c r="S223" s="271">
        <f>T223-L230</f>
        <v>26.386497600000041</v>
      </c>
      <c r="T223" s="271">
        <f>L230*1.1</f>
        <v>290.25147360000005</v>
      </c>
      <c r="U223" s="265">
        <v>1200.69</v>
      </c>
      <c r="V223" s="266"/>
      <c r="W223" s="264"/>
      <c r="X223" s="264"/>
      <c r="Y223" s="264"/>
      <c r="Z223" s="264"/>
      <c r="AA223" s="115"/>
      <c r="AB223" s="115"/>
      <c r="AC223" s="385"/>
      <c r="AD223" s="385"/>
      <c r="AE223" s="385"/>
      <c r="AF223" s="341"/>
      <c r="AG223" s="341"/>
      <c r="AH223" s="307"/>
      <c r="AI223" s="307"/>
      <c r="AJ223" s="307"/>
      <c r="AK223" s="307"/>
      <c r="AL223" s="307"/>
      <c r="AM223" s="300">
        <f>AA223-AB223-AD223-AE223-AF223-AH223</f>
        <v>0</v>
      </c>
      <c r="AN223" s="269">
        <f>AA223-AB223</f>
        <v>0</v>
      </c>
      <c r="AO223" s="269">
        <f>AD223+AE223+AF223+AG223+AH223+AL223+AM223</f>
        <v>0</v>
      </c>
      <c r="AP223" s="270">
        <f>(AM223+AL223)*0.3+(AG223+AF223+AE223+AD223)*0.6</f>
        <v>0</v>
      </c>
      <c r="AQ223" s="115">
        <f>F223-AP223</f>
        <v>4200</v>
      </c>
      <c r="AR223" s="303">
        <f>AP223*0.138562</f>
        <v>0</v>
      </c>
      <c r="AS223" s="308"/>
      <c r="AT223" s="302">
        <f>AD223+AE223+AF223+AH223+AM223</f>
        <v>0</v>
      </c>
      <c r="AU223" s="132">
        <f t="shared" si="73"/>
        <v>0</v>
      </c>
      <c r="AV223" s="257"/>
    </row>
    <row r="224" spans="1:61" s="239" customFormat="1" ht="12.75" customHeight="1">
      <c r="B224" s="350" t="s">
        <v>485</v>
      </c>
      <c r="C224" s="242"/>
      <c r="D224" s="242"/>
      <c r="E224" s="242"/>
      <c r="F224" s="242"/>
      <c r="G224" s="243"/>
      <c r="H224" s="243"/>
      <c r="I224" s="243"/>
      <c r="J224" s="243"/>
      <c r="K224" s="242"/>
      <c r="L224" s="244"/>
      <c r="M224" s="263">
        <f>E231</f>
        <v>0</v>
      </c>
      <c r="N224" s="264"/>
      <c r="O224" s="173"/>
      <c r="P224" s="173"/>
      <c r="Q224" s="264"/>
      <c r="R224" s="264"/>
      <c r="S224" s="264"/>
      <c r="T224" s="264"/>
      <c r="U224" s="265"/>
      <c r="V224" s="266"/>
      <c r="W224" s="264"/>
      <c r="X224" s="264"/>
      <c r="Y224" s="264"/>
      <c r="Z224" s="264"/>
      <c r="AA224" s="115"/>
      <c r="AB224" s="115"/>
      <c r="AC224" s="115"/>
      <c r="AD224" s="115"/>
      <c r="AE224" s="115"/>
      <c r="AF224" s="115"/>
      <c r="AG224" s="115"/>
      <c r="AH224" s="321"/>
      <c r="AI224" s="321"/>
      <c r="AJ224" s="321"/>
      <c r="AK224" s="321"/>
      <c r="AL224" s="321"/>
      <c r="AM224" s="321"/>
      <c r="AN224" s="321"/>
      <c r="AO224" s="321"/>
      <c r="AP224" s="421"/>
      <c r="AQ224" s="321"/>
      <c r="AR224" s="422"/>
      <c r="AS224" s="423"/>
      <c r="AT224" s="316">
        <f>AD224+AE224+AF224+AH224+AM224</f>
        <v>0</v>
      </c>
      <c r="AU224" s="132">
        <f t="shared" si="73"/>
        <v>0</v>
      </c>
      <c r="AV224" s="257"/>
    </row>
    <row r="225" spans="1:61" s="239" customFormat="1" ht="15" customHeight="1">
      <c r="A225" s="239">
        <v>79</v>
      </c>
      <c r="B225" s="396" t="s">
        <v>486</v>
      </c>
      <c r="C225" s="258">
        <v>5</v>
      </c>
      <c r="D225" s="259">
        <v>4</v>
      </c>
      <c r="E225" s="260">
        <v>304</v>
      </c>
      <c r="F225" s="260">
        <v>2500</v>
      </c>
      <c r="G225" s="261">
        <f>E225*0.300304</f>
        <v>91.292416000000003</v>
      </c>
      <c r="H225" s="261">
        <f>F225*0.124048</f>
        <v>310.12</v>
      </c>
      <c r="I225" s="526"/>
      <c r="J225" s="526"/>
      <c r="K225" s="527">
        <v>100</v>
      </c>
      <c r="L225" s="262">
        <f>SUM(G225:K225)</f>
        <v>501.41241600000001</v>
      </c>
      <c r="M225" s="263">
        <f>E230</f>
        <v>207</v>
      </c>
      <c r="N225" s="264"/>
      <c r="O225" s="173"/>
      <c r="P225" s="173"/>
      <c r="Q225" s="264"/>
      <c r="R225" s="264"/>
      <c r="S225" s="264"/>
      <c r="T225" s="264"/>
      <c r="U225" s="265"/>
      <c r="V225" s="266"/>
      <c r="W225" s="264"/>
      <c r="X225" s="264"/>
      <c r="Y225" s="264"/>
      <c r="Z225" s="264"/>
      <c r="AA225" s="115">
        <v>3876</v>
      </c>
      <c r="AB225" s="267">
        <v>744</v>
      </c>
      <c r="AC225" s="267"/>
      <c r="AD225" s="556">
        <v>150</v>
      </c>
      <c r="AE225" s="556">
        <f>18*4</f>
        <v>72</v>
      </c>
      <c r="AF225" s="557">
        <v>330</v>
      </c>
      <c r="AG225" s="557">
        <v>31.5</v>
      </c>
      <c r="AH225" s="116">
        <f>135+36+108.9</f>
        <v>279.89999999999998</v>
      </c>
      <c r="AI225" s="116"/>
      <c r="AJ225" s="116"/>
      <c r="AK225" s="116"/>
      <c r="AL225" s="557">
        <v>31.5</v>
      </c>
      <c r="AM225" s="116">
        <f>AA225-AB225-AD225-AE225-AF225-AH225</f>
        <v>2300.1</v>
      </c>
      <c r="AN225" s="268">
        <f>AA225-AB225</f>
        <v>3132</v>
      </c>
      <c r="AO225" s="269">
        <f>AD225+AE225+AF225+AG225+AH225+AL225+AM225</f>
        <v>3195</v>
      </c>
      <c r="AP225" s="270">
        <f>(AM225+AL225+AH225)*0.3+(AG225+AF225+AE225+AD225)*0.6</f>
        <v>1133.55</v>
      </c>
      <c r="AQ225" s="115">
        <f>F225-AP225</f>
        <v>1366.45</v>
      </c>
      <c r="AR225" s="303">
        <f>AP225*0.138562</f>
        <v>157.06695509999997</v>
      </c>
      <c r="AS225" s="556">
        <f>AM225+AH225</f>
        <v>2580</v>
      </c>
      <c r="AT225" s="256">
        <f>AD225+AE225+AF225+AS225+AG225+AL225</f>
        <v>3195</v>
      </c>
      <c r="AU225" s="132">
        <f t="shared" si="73"/>
        <v>1133.55</v>
      </c>
      <c r="AV225" s="257"/>
    </row>
    <row r="226" spans="1:61" s="239" customFormat="1" ht="15" customHeight="1">
      <c r="A226" s="239">
        <v>80</v>
      </c>
      <c r="B226" s="396" t="s">
        <v>487</v>
      </c>
      <c r="C226" s="258">
        <v>5</v>
      </c>
      <c r="D226" s="259">
        <v>4</v>
      </c>
      <c r="E226" s="259">
        <v>293</v>
      </c>
      <c r="F226" s="259">
        <v>2300</v>
      </c>
      <c r="G226" s="261">
        <f>E226*0.300304</f>
        <v>87.989072000000007</v>
      </c>
      <c r="H226" s="261">
        <f>F226*0.124048</f>
        <v>285.31040000000002</v>
      </c>
      <c r="I226" s="259"/>
      <c r="J226" s="259"/>
      <c r="K226" s="528"/>
      <c r="L226" s="262">
        <f>SUM(G226:K226)</f>
        <v>373.29947200000004</v>
      </c>
      <c r="M226" s="263">
        <f>E231</f>
        <v>0</v>
      </c>
      <c r="N226" s="173" t="e">
        <f>E231/C231</f>
        <v>#DIV/0!</v>
      </c>
      <c r="O226" s="173" t="e">
        <f>N226*3</f>
        <v>#DIV/0!</v>
      </c>
      <c r="P226" s="173" t="e">
        <f>E231-O226</f>
        <v>#DIV/0!</v>
      </c>
      <c r="Q226" s="264"/>
      <c r="R226" s="264"/>
      <c r="S226" s="264"/>
      <c r="T226" s="264"/>
      <c r="U226" s="265">
        <f>L231*1.058</f>
        <v>0</v>
      </c>
      <c r="V226" s="266"/>
      <c r="W226" s="264"/>
      <c r="X226" s="264"/>
      <c r="Y226" s="264"/>
      <c r="Z226" s="264"/>
      <c r="AA226" s="115">
        <v>2805</v>
      </c>
      <c r="AB226" s="267">
        <v>744</v>
      </c>
      <c r="AC226" s="267"/>
      <c r="AD226" s="556">
        <v>150</v>
      </c>
      <c r="AE226" s="556">
        <f>2.5*4*4</f>
        <v>40</v>
      </c>
      <c r="AF226" s="557">
        <v>340</v>
      </c>
      <c r="AG226" s="557">
        <v>31.5</v>
      </c>
      <c r="AH226" s="118">
        <f>135+36+108.9</f>
        <v>279.89999999999998</v>
      </c>
      <c r="AI226" s="118"/>
      <c r="AJ226" s="118"/>
      <c r="AK226" s="118"/>
      <c r="AL226" s="557">
        <v>3.8</v>
      </c>
      <c r="AM226" s="116">
        <f>AA226-AB226-AD226-AE226-AF226-AH226</f>
        <v>1251.0999999999999</v>
      </c>
      <c r="AN226" s="268">
        <f>AA226-AB226</f>
        <v>2061</v>
      </c>
      <c r="AO226" s="269">
        <f>AD226+AE226+AF226+AG226+AH226+AL226+AM226</f>
        <v>2096.2999999999997</v>
      </c>
      <c r="AP226" s="270">
        <f>(AM226+AL226+AH226)*0.3+(AG226+AF226+AE226+AD226)*0.6</f>
        <v>797.33999999999992</v>
      </c>
      <c r="AQ226" s="115">
        <f>F226-AP226</f>
        <v>1502.66</v>
      </c>
      <c r="AR226" s="303">
        <f>AP226*0.138562</f>
        <v>110.48102507999998</v>
      </c>
      <c r="AS226" s="556">
        <f>AM226+AH226</f>
        <v>1531</v>
      </c>
      <c r="AT226" s="256">
        <f>AD226+AE226+AF226+AS226+AG226+AL226</f>
        <v>2096.3000000000002</v>
      </c>
      <c r="AU226" s="132">
        <f t="shared" si="73"/>
        <v>797.33999999999992</v>
      </c>
      <c r="AV226" s="257"/>
    </row>
    <row r="227" spans="1:61" s="239" customFormat="1" ht="15" customHeight="1">
      <c r="A227" s="127">
        <v>60</v>
      </c>
      <c r="B227" s="240" t="s">
        <v>488</v>
      </c>
      <c r="C227" s="258">
        <v>5</v>
      </c>
      <c r="D227" s="259">
        <v>3</v>
      </c>
      <c r="E227" s="260">
        <v>205</v>
      </c>
      <c r="F227" s="260">
        <v>1300</v>
      </c>
      <c r="G227" s="261">
        <f>E227*0.300304</f>
        <v>61.56232</v>
      </c>
      <c r="H227" s="261">
        <f>F227*0.124048</f>
        <v>161.26240000000001</v>
      </c>
      <c r="I227" s="261"/>
      <c r="J227" s="261"/>
      <c r="K227" s="259"/>
      <c r="L227" s="262">
        <f>G227+H227+I227+J227+K227</f>
        <v>222.82472000000001</v>
      </c>
      <c r="M227" s="263">
        <f>E227</f>
        <v>205</v>
      </c>
      <c r="N227" s="173">
        <f>E227/C227</f>
        <v>41</v>
      </c>
      <c r="O227" s="173">
        <f>N227*3</f>
        <v>123</v>
      </c>
      <c r="P227" s="173">
        <f>M227-O227</f>
        <v>82</v>
      </c>
      <c r="Q227" s="174"/>
      <c r="R227" s="174"/>
      <c r="S227" s="174"/>
      <c r="T227" s="174"/>
      <c r="U227" s="175">
        <f>L227*1.051</f>
        <v>234.18878072000001</v>
      </c>
      <c r="V227" s="176"/>
      <c r="W227" s="174">
        <f>U227*0.3569</f>
        <v>83.581975838968006</v>
      </c>
      <c r="X227" s="174">
        <f>U227+W227</f>
        <v>317.770756558968</v>
      </c>
      <c r="Y227" s="174">
        <f>X227*1.2</f>
        <v>381.32490787076159</v>
      </c>
      <c r="Z227" s="174"/>
      <c r="AA227" s="311"/>
      <c r="AB227" s="314"/>
      <c r="AC227" s="314"/>
      <c r="AD227" s="558">
        <f>(53+11)*2</f>
        <v>128</v>
      </c>
      <c r="AE227" s="558">
        <f>8*4*3</f>
        <v>96</v>
      </c>
      <c r="AF227" s="559">
        <f>3*26+58*4</f>
        <v>310</v>
      </c>
      <c r="AG227" s="559"/>
      <c r="AH227" s="324">
        <f>6*6+7*6+16*6+16*6</f>
        <v>270</v>
      </c>
      <c r="AI227" s="324"/>
      <c r="AJ227" s="324"/>
      <c r="AK227" s="324"/>
      <c r="AL227" s="559"/>
      <c r="AM227" s="116">
        <f>2*6+10*8+8*56+58*12</f>
        <v>1236</v>
      </c>
      <c r="AN227" s="268">
        <f>AA227-AB227</f>
        <v>0</v>
      </c>
      <c r="AO227" s="269">
        <f>AD227+AE227+AF227+AG227+AH227+AL227+AM227</f>
        <v>2040</v>
      </c>
      <c r="AP227" s="270">
        <f>(AM227+AL227+AH227)*0.3+(AG227+AF227+AE227+AD227)*0.6</f>
        <v>772.2</v>
      </c>
      <c r="AQ227" s="115">
        <f>F227-AP227</f>
        <v>527.79999999999995</v>
      </c>
      <c r="AR227" s="314"/>
      <c r="AS227" s="556">
        <f>AM227+AH227</f>
        <v>1506</v>
      </c>
      <c r="AT227" s="256">
        <f>AD227+AE227+AF227+AS227+AG227+AL227</f>
        <v>2040</v>
      </c>
      <c r="AU227" s="132">
        <f t="shared" si="73"/>
        <v>772.2</v>
      </c>
      <c r="AV227" s="257"/>
    </row>
    <row r="228" spans="1:61" s="239" customFormat="1" thickBot="1">
      <c r="B228" s="275" t="s">
        <v>320</v>
      </c>
      <c r="C228" s="327"/>
      <c r="D228" s="327"/>
      <c r="E228" s="327">
        <f>SUM(E225:E227)</f>
        <v>802</v>
      </c>
      <c r="F228" s="327">
        <f>SUM(F225:F227)</f>
        <v>6100</v>
      </c>
      <c r="G228" s="397">
        <f>SUM(G225:G227)</f>
        <v>240.84380800000002</v>
      </c>
      <c r="H228" s="397">
        <f>SUM(H225:H227)</f>
        <v>756.69280000000003</v>
      </c>
      <c r="I228" s="397"/>
      <c r="J228" s="397"/>
      <c r="K228" s="529">
        <f>SUM(K225:K227)</f>
        <v>100</v>
      </c>
      <c r="L228" s="328">
        <f>SUM(L225:L227)</f>
        <v>1097.5366080000001</v>
      </c>
      <c r="M228" s="263">
        <f>E235</f>
        <v>523</v>
      </c>
      <c r="N228" s="173">
        <f>E235/C235</f>
        <v>104.6</v>
      </c>
      <c r="O228" s="173">
        <f>N228*3</f>
        <v>313.79999999999995</v>
      </c>
      <c r="P228" s="173">
        <f>E235-O228</f>
        <v>209.20000000000005</v>
      </c>
      <c r="Q228" s="264"/>
      <c r="R228" s="264"/>
      <c r="S228" s="264"/>
      <c r="T228" s="264"/>
      <c r="U228" s="265">
        <f>1.0553*L235</f>
        <v>563.4424159248</v>
      </c>
      <c r="V228" s="266"/>
      <c r="W228" s="264"/>
      <c r="X228" s="264"/>
      <c r="Y228" s="264"/>
      <c r="Z228" s="264"/>
      <c r="AA228" s="115"/>
      <c r="AB228" s="115"/>
      <c r="AC228" s="385"/>
      <c r="AD228" s="385"/>
      <c r="AE228" s="385"/>
      <c r="AF228" s="341"/>
      <c r="AG228" s="341"/>
      <c r="AH228" s="307"/>
      <c r="AI228" s="307"/>
      <c r="AJ228" s="307"/>
      <c r="AK228" s="307"/>
      <c r="AL228" s="307"/>
      <c r="AM228" s="300">
        <f>AA228-AB228-AD228-AE228-AF228-AH228</f>
        <v>0</v>
      </c>
      <c r="AN228" s="269">
        <f>AA228-AB228</f>
        <v>0</v>
      </c>
      <c r="AO228" s="269">
        <f>AD228+AE228+AF228+AG228+AH228+AL228+AM228</f>
        <v>0</v>
      </c>
      <c r="AP228" s="270">
        <f>(AM228+AL228)*0.3+(AG228+AF228+AE228+AD228)*0.6</f>
        <v>0</v>
      </c>
      <c r="AQ228" s="115">
        <f>F228-AP228</f>
        <v>6100</v>
      </c>
      <c r="AR228" s="303">
        <f>AP228*0.138562</f>
        <v>0</v>
      </c>
      <c r="AS228" s="308"/>
      <c r="AT228" s="302">
        <f>AD228+AE228+AF228+AH228+AM228</f>
        <v>0</v>
      </c>
      <c r="AU228" s="132">
        <f t="shared" si="73"/>
        <v>0</v>
      </c>
      <c r="AV228" s="257"/>
    </row>
    <row r="229" spans="1:61" s="239" customFormat="1" ht="15">
      <c r="B229" s="309" t="s">
        <v>489</v>
      </c>
      <c r="C229" s="242"/>
      <c r="D229" s="242"/>
      <c r="E229" s="242"/>
      <c r="F229" s="242"/>
      <c r="G229" s="242"/>
      <c r="H229" s="242"/>
      <c r="I229" s="242"/>
      <c r="J229" s="242"/>
      <c r="K229" s="242"/>
      <c r="L229" s="386"/>
      <c r="M229" s="263"/>
      <c r="N229" s="264"/>
      <c r="O229" s="173"/>
      <c r="P229" s="173"/>
      <c r="Q229" s="264"/>
      <c r="R229" s="264"/>
      <c r="S229" s="271">
        <f>T229-L236</f>
        <v>151.6719472000002</v>
      </c>
      <c r="T229" s="271">
        <f>L236*1.1</f>
        <v>1668.3914192000002</v>
      </c>
      <c r="U229" s="265">
        <v>1391.67</v>
      </c>
      <c r="V229" s="266">
        <f>U229/L236</f>
        <v>0.91755266922557188</v>
      </c>
      <c r="W229" s="264"/>
      <c r="X229" s="264"/>
      <c r="Y229" s="264"/>
      <c r="Z229" s="264"/>
      <c r="AA229" s="115"/>
      <c r="AB229" s="115"/>
      <c r="AC229" s="115"/>
      <c r="AD229" s="115"/>
      <c r="AE229" s="115"/>
      <c r="AF229" s="304"/>
      <c r="AG229" s="304"/>
      <c r="AH229" s="321"/>
      <c r="AI229" s="321"/>
      <c r="AJ229" s="321"/>
      <c r="AK229" s="321"/>
      <c r="AL229" s="321"/>
      <c r="AM229" s="321"/>
      <c r="AN229" s="321"/>
      <c r="AO229" s="321"/>
      <c r="AP229" s="421"/>
      <c r="AQ229" s="321"/>
      <c r="AR229" s="422"/>
      <c r="AS229" s="423"/>
      <c r="AT229" s="316">
        <f>AD229+AE229+AF229+AH229+AM229</f>
        <v>0</v>
      </c>
      <c r="AU229" s="132">
        <f t="shared" si="73"/>
        <v>0</v>
      </c>
      <c r="AV229" s="257"/>
    </row>
    <row r="230" spans="1:61" s="239" customFormat="1" ht="15" customHeight="1" thickBot="1">
      <c r="A230" s="127">
        <v>60</v>
      </c>
      <c r="B230" s="240" t="s">
        <v>490</v>
      </c>
      <c r="C230" s="409">
        <v>5</v>
      </c>
      <c r="D230" s="391">
        <v>3</v>
      </c>
      <c r="E230" s="326">
        <v>207</v>
      </c>
      <c r="F230" s="326">
        <v>1626</v>
      </c>
      <c r="G230" s="393">
        <f>E230*0.300304</f>
        <v>62.162928000000001</v>
      </c>
      <c r="H230" s="393">
        <f>F230*0.124048</f>
        <v>201.70204800000002</v>
      </c>
      <c r="I230" s="393"/>
      <c r="J230" s="393"/>
      <c r="K230" s="391"/>
      <c r="L230" s="394">
        <f>G230+H230+I230+J230+K230</f>
        <v>263.86497600000001</v>
      </c>
      <c r="M230" s="263">
        <f>E230</f>
        <v>207</v>
      </c>
      <c r="N230" s="173">
        <f>E230/C230</f>
        <v>41.4</v>
      </c>
      <c r="O230" s="173">
        <f>N230*3</f>
        <v>124.19999999999999</v>
      </c>
      <c r="P230" s="173">
        <f>M230-O230</f>
        <v>82.800000000000011</v>
      </c>
      <c r="Q230" s="174"/>
      <c r="R230" s="174"/>
      <c r="S230" s="174"/>
      <c r="T230" s="174"/>
      <c r="U230" s="175">
        <f>L230*1.051</f>
        <v>277.32208977599998</v>
      </c>
      <c r="V230" s="176"/>
      <c r="W230" s="174">
        <f>U230*0.3569</f>
        <v>98.976253841054387</v>
      </c>
      <c r="X230" s="174">
        <f>U230+W230</f>
        <v>376.29834361705434</v>
      </c>
      <c r="Y230" s="174">
        <f>X230*1.2</f>
        <v>451.55801234046521</v>
      </c>
      <c r="Z230" s="174"/>
      <c r="AA230" s="311"/>
      <c r="AB230" s="314"/>
      <c r="AC230" s="314"/>
      <c r="AD230" s="558">
        <f>(53+11)*2</f>
        <v>128</v>
      </c>
      <c r="AE230" s="558">
        <f>8*4*3</f>
        <v>96</v>
      </c>
      <c r="AF230" s="559">
        <f>32*4+58*4</f>
        <v>360</v>
      </c>
      <c r="AG230" s="559"/>
      <c r="AH230" s="324">
        <f>6*6+7*6+16*6*2</f>
        <v>270</v>
      </c>
      <c r="AI230" s="324"/>
      <c r="AJ230" s="324"/>
      <c r="AK230" s="324"/>
      <c r="AL230" s="559"/>
      <c r="AM230" s="116">
        <f>6*58+62*12+100</f>
        <v>1192</v>
      </c>
      <c r="AN230" s="268">
        <f>AA230-AB230</f>
        <v>0</v>
      </c>
      <c r="AO230" s="269">
        <f>AD230+AE230+AF230+AG230+AH230+AL230+AM230</f>
        <v>2046</v>
      </c>
      <c r="AP230" s="270">
        <f>(AM230+AL230+AH230)*0.3+(AG230+AF230+AE230+AD230)*0.6</f>
        <v>789</v>
      </c>
      <c r="AQ230" s="115">
        <f>F230-AP230</f>
        <v>837</v>
      </c>
      <c r="AR230" s="314"/>
      <c r="AS230" s="556">
        <f>AM230+AH230</f>
        <v>1462</v>
      </c>
      <c r="AT230" s="256">
        <f>AD230+AE230+AF230+AS230+AG230+AL230</f>
        <v>2046</v>
      </c>
      <c r="AU230" s="132">
        <f t="shared" si="73"/>
        <v>789</v>
      </c>
      <c r="AV230" s="257"/>
    </row>
    <row r="231" spans="1:61" s="239" customFormat="1" ht="15">
      <c r="B231" s="350" t="s">
        <v>491</v>
      </c>
      <c r="C231" s="242"/>
      <c r="D231" s="242"/>
      <c r="E231" s="242"/>
      <c r="F231" s="242"/>
      <c r="G231" s="242"/>
      <c r="H231" s="242"/>
      <c r="I231" s="242"/>
      <c r="J231" s="242"/>
      <c r="K231" s="242"/>
      <c r="L231" s="386"/>
      <c r="M231" s="263">
        <f>E238</f>
        <v>140</v>
      </c>
      <c r="N231" s="173">
        <f>E238/C238</f>
        <v>28</v>
      </c>
      <c r="O231" s="173">
        <f>N231*3</f>
        <v>84</v>
      </c>
      <c r="P231" s="173">
        <f>E238-O231</f>
        <v>56</v>
      </c>
      <c r="Q231" s="264"/>
      <c r="R231" s="264"/>
      <c r="S231" s="264"/>
      <c r="T231" s="264"/>
      <c r="U231" s="265">
        <f>1.1436*L238</f>
        <v>339.88855090559997</v>
      </c>
      <c r="V231" s="266"/>
      <c r="W231" s="264"/>
      <c r="X231" s="264"/>
      <c r="Y231" s="264"/>
      <c r="Z231" s="264"/>
      <c r="AA231" s="115"/>
      <c r="AB231" s="115"/>
      <c r="AC231" s="385"/>
      <c r="AD231" s="385"/>
      <c r="AE231" s="385"/>
      <c r="AF231" s="385"/>
      <c r="AG231" s="385"/>
      <c r="AH231" s="307"/>
      <c r="AI231" s="307"/>
      <c r="AJ231" s="307"/>
      <c r="AK231" s="307"/>
      <c r="AL231" s="307"/>
      <c r="AM231" s="307"/>
      <c r="AN231" s="321"/>
      <c r="AO231" s="321"/>
      <c r="AP231" s="421"/>
      <c r="AQ231" s="321"/>
      <c r="AR231" s="422"/>
      <c r="AS231" s="464"/>
      <c r="AT231" s="302">
        <f>AD231+AE231+AF231+AH231+AM231</f>
        <v>0</v>
      </c>
      <c r="AU231" s="132">
        <f t="shared" si="73"/>
        <v>0</v>
      </c>
      <c r="AV231" s="257"/>
    </row>
    <row r="232" spans="1:61" s="239" customFormat="1" ht="15" customHeight="1">
      <c r="A232" s="127">
        <v>60</v>
      </c>
      <c r="B232" s="240" t="s">
        <v>492</v>
      </c>
      <c r="C232" s="258">
        <v>5</v>
      </c>
      <c r="D232" s="259">
        <v>3</v>
      </c>
      <c r="E232" s="260">
        <v>213</v>
      </c>
      <c r="F232" s="260">
        <v>1709</v>
      </c>
      <c r="G232" s="261">
        <f>E232*0.300304</f>
        <v>63.964752000000004</v>
      </c>
      <c r="H232" s="261">
        <f>F232*0.124048</f>
        <v>211.99803200000002</v>
      </c>
      <c r="I232" s="261"/>
      <c r="J232" s="261"/>
      <c r="K232" s="259"/>
      <c r="L232" s="262">
        <f>G232+H232+I232+J232+K232</f>
        <v>275.96278400000006</v>
      </c>
      <c r="M232" s="263">
        <f>E232</f>
        <v>213</v>
      </c>
      <c r="N232" s="173">
        <f>E232/C232</f>
        <v>42.6</v>
      </c>
      <c r="O232" s="173">
        <f>N232*3</f>
        <v>127.80000000000001</v>
      </c>
      <c r="P232" s="173">
        <f>M232-O232</f>
        <v>85.199999999999989</v>
      </c>
      <c r="Q232" s="174"/>
      <c r="R232" s="174"/>
      <c r="S232" s="174"/>
      <c r="T232" s="174"/>
      <c r="U232" s="175">
        <f>L232*1.051</f>
        <v>290.03688598400004</v>
      </c>
      <c r="V232" s="176"/>
      <c r="W232" s="174">
        <f>U232*0.3569</f>
        <v>103.51416460768961</v>
      </c>
      <c r="X232" s="174">
        <f>U232+W232</f>
        <v>393.55105059168966</v>
      </c>
      <c r="Y232" s="174">
        <f>X232*1.2</f>
        <v>472.26126071002756</v>
      </c>
      <c r="Z232" s="174"/>
      <c r="AA232" s="311"/>
      <c r="AB232" s="314"/>
      <c r="AC232" s="314"/>
      <c r="AD232" s="558">
        <f>(53+11)*2</f>
        <v>128</v>
      </c>
      <c r="AE232" s="558">
        <f>8*4*3</f>
        <v>96</v>
      </c>
      <c r="AF232" s="559">
        <f>58*4+4*30</f>
        <v>352</v>
      </c>
      <c r="AG232" s="559"/>
      <c r="AH232" s="324">
        <f>6*6+7*6+16*6*2</f>
        <v>270</v>
      </c>
      <c r="AI232" s="324"/>
      <c r="AJ232" s="324"/>
      <c r="AK232" s="324"/>
      <c r="AL232" s="559"/>
      <c r="AM232" s="116">
        <f>58*8+4*14+10*58</f>
        <v>1100</v>
      </c>
      <c r="AN232" s="268">
        <f>AA232-AB232</f>
        <v>0</v>
      </c>
      <c r="AO232" s="269">
        <f>AD232+AE232+AF232+AG232+AH232+AL232+AM232</f>
        <v>1946</v>
      </c>
      <c r="AP232" s="270">
        <f>(AM232+AL232+AH232)*0.3+(AG232+AF232+AE232+AD232)*0.6</f>
        <v>756.59999999999991</v>
      </c>
      <c r="AQ232" s="115">
        <f>F232-AP232</f>
        <v>952.40000000000009</v>
      </c>
      <c r="AR232" s="314"/>
      <c r="AS232" s="556">
        <f>AM232+AH232</f>
        <v>1370</v>
      </c>
      <c r="AT232" s="256">
        <f>AD232+AE232+AF232+AS232+AG232+AL232</f>
        <v>1946</v>
      </c>
      <c r="AU232" s="132">
        <f t="shared" si="73"/>
        <v>756.59999999999991</v>
      </c>
      <c r="AV232" s="257"/>
    </row>
    <row r="233" spans="1:61" s="239" customFormat="1" ht="15" customHeight="1">
      <c r="A233" s="127">
        <v>60</v>
      </c>
      <c r="B233" s="240" t="s">
        <v>493</v>
      </c>
      <c r="C233" s="258">
        <v>5</v>
      </c>
      <c r="D233" s="259">
        <v>4</v>
      </c>
      <c r="E233" s="260">
        <v>207</v>
      </c>
      <c r="F233" s="260">
        <v>1400</v>
      </c>
      <c r="G233" s="261">
        <f>E233*0.300304</f>
        <v>62.162928000000001</v>
      </c>
      <c r="H233" s="261">
        <f>F233*0.124048</f>
        <v>173.66720000000001</v>
      </c>
      <c r="I233" s="261"/>
      <c r="J233" s="261"/>
      <c r="K233" s="259"/>
      <c r="L233" s="262">
        <f>G233+H233+I233+J233+K233</f>
        <v>235.830128</v>
      </c>
      <c r="M233" s="263">
        <f>E233</f>
        <v>207</v>
      </c>
      <c r="N233" s="173">
        <f>E233/C233</f>
        <v>41.4</v>
      </c>
      <c r="O233" s="173">
        <f>N233*3</f>
        <v>124.19999999999999</v>
      </c>
      <c r="P233" s="173">
        <f>M233-O233</f>
        <v>82.800000000000011</v>
      </c>
      <c r="Q233" s="174"/>
      <c r="R233" s="174"/>
      <c r="S233" s="174"/>
      <c r="T233" s="174"/>
      <c r="U233" s="175">
        <f>L233*1.051</f>
        <v>247.85746452799998</v>
      </c>
      <c r="V233" s="176"/>
      <c r="W233" s="174">
        <f>U233*0.3569</f>
        <v>88.460329090043189</v>
      </c>
      <c r="X233" s="174">
        <f>U233+W233</f>
        <v>336.3177936180432</v>
      </c>
      <c r="Y233" s="174">
        <f>X233*1.2</f>
        <v>403.58135234165184</v>
      </c>
      <c r="Z233" s="174"/>
      <c r="AA233" s="311"/>
      <c r="AB233" s="314"/>
      <c r="AC233" s="314"/>
      <c r="AD233" s="558">
        <f>(53+11)*2</f>
        <v>128</v>
      </c>
      <c r="AE233" s="558">
        <f>8*4*3</f>
        <v>96</v>
      </c>
      <c r="AF233" s="559">
        <f>34*4+7*3+10*2</f>
        <v>177</v>
      </c>
      <c r="AG233" s="559"/>
      <c r="AH233" s="324">
        <f>7*8+16*8*3</f>
        <v>440</v>
      </c>
      <c r="AI233" s="324"/>
      <c r="AJ233" s="324"/>
      <c r="AK233" s="324"/>
      <c r="AL233" s="559"/>
      <c r="AM233" s="116">
        <f>17*16+31*26</f>
        <v>1078</v>
      </c>
      <c r="AN233" s="268">
        <f>AA233-AB233</f>
        <v>0</v>
      </c>
      <c r="AO233" s="269">
        <f>AD233+AE233+AF233+AG233+AH233+AL233+AM233</f>
        <v>1919</v>
      </c>
      <c r="AP233" s="270">
        <f>(AM233+AL233+AH233)*0.3+(AG233+AF233+AE233+AD233)*0.6</f>
        <v>696</v>
      </c>
      <c r="AQ233" s="115">
        <f>F233-AP233</f>
        <v>704</v>
      </c>
      <c r="AR233" s="314"/>
      <c r="AS233" s="556">
        <f>AM233+AH233</f>
        <v>1518</v>
      </c>
      <c r="AT233" s="256">
        <f>AD233+AE233+AF233+AS233+AG233+AL233</f>
        <v>1919</v>
      </c>
      <c r="AU233" s="132">
        <f t="shared" si="73"/>
        <v>696</v>
      </c>
      <c r="AV233" s="257"/>
    </row>
    <row r="234" spans="1:61" s="239" customFormat="1" ht="15" customHeight="1">
      <c r="A234" s="239">
        <v>119</v>
      </c>
      <c r="B234" s="240" t="s">
        <v>494</v>
      </c>
      <c r="C234" s="258">
        <v>14</v>
      </c>
      <c r="D234" s="259">
        <v>1</v>
      </c>
      <c r="E234" s="259">
        <v>776</v>
      </c>
      <c r="F234" s="259">
        <v>1330</v>
      </c>
      <c r="G234" s="261">
        <f>E234*0.300304</f>
        <v>233.03590400000002</v>
      </c>
      <c r="H234" s="261">
        <f>F234*0.124048</f>
        <v>164.98384000000001</v>
      </c>
      <c r="I234" s="261">
        <f>40.2*D234</f>
        <v>40.200000000000003</v>
      </c>
      <c r="J234" s="261">
        <v>7.8</v>
      </c>
      <c r="K234" s="259">
        <v>25</v>
      </c>
      <c r="L234" s="262">
        <f>SUM(G234:K234)</f>
        <v>471.01974400000006</v>
      </c>
      <c r="M234" s="263">
        <f>E242</f>
        <v>2370</v>
      </c>
      <c r="N234" s="264"/>
      <c r="O234" s="173"/>
      <c r="P234" s="173"/>
      <c r="Q234" s="264"/>
      <c r="R234" s="264"/>
      <c r="S234" s="264"/>
      <c r="T234" s="264"/>
      <c r="U234" s="265"/>
      <c r="V234" s="266"/>
      <c r="W234" s="264"/>
      <c r="X234" s="264"/>
      <c r="Y234" s="264"/>
      <c r="Z234" s="264"/>
      <c r="AA234" s="115"/>
      <c r="AB234" s="267"/>
      <c r="AC234" s="267"/>
      <c r="AD234" s="556">
        <f>113</f>
        <v>113</v>
      </c>
      <c r="AE234" s="556">
        <f>16*7.8</f>
        <v>124.8</v>
      </c>
      <c r="AF234" s="557">
        <f>6*40+37*2</f>
        <v>314</v>
      </c>
      <c r="AG234" s="557"/>
      <c r="AH234" s="118">
        <f>17*17</f>
        <v>289</v>
      </c>
      <c r="AI234" s="118"/>
      <c r="AJ234" s="118"/>
      <c r="AK234" s="118"/>
      <c r="AL234" s="557"/>
      <c r="AM234" s="116">
        <f>7*10+10*3+20*18+14*21+9*21+8*16</f>
        <v>1071</v>
      </c>
      <c r="AN234" s="268">
        <f>AA234-AB234</f>
        <v>0</v>
      </c>
      <c r="AO234" s="269">
        <f>AD234+AE234+AF234+AG234+AH234+AL234+AM234</f>
        <v>1911.8</v>
      </c>
      <c r="AP234" s="270">
        <f>(AM234+AL234+AH234)*0.3+(AG234+AF234+AE234+AD234)*0.6</f>
        <v>739.07999999999993</v>
      </c>
      <c r="AQ234" s="115">
        <f>F234-AP234</f>
        <v>590.92000000000007</v>
      </c>
      <c r="AR234" s="267"/>
      <c r="AS234" s="556">
        <f>AM234+AH234</f>
        <v>1360</v>
      </c>
      <c r="AT234" s="256">
        <f>AD234+AE234+AF234+AS234+AG234+AL234</f>
        <v>1911.8</v>
      </c>
      <c r="AU234" s="132">
        <f t="shared" si="73"/>
        <v>739.07999999999993</v>
      </c>
      <c r="AV234" s="257"/>
    </row>
    <row r="235" spans="1:61" s="239" customFormat="1" ht="15" customHeight="1">
      <c r="A235" s="239">
        <v>40</v>
      </c>
      <c r="B235" s="240" t="s">
        <v>495</v>
      </c>
      <c r="C235" s="258">
        <v>5</v>
      </c>
      <c r="D235" s="259">
        <v>8</v>
      </c>
      <c r="E235" s="259">
        <v>523</v>
      </c>
      <c r="F235" s="259">
        <v>3038</v>
      </c>
      <c r="G235" s="261">
        <f>E235*0.300304</f>
        <v>157.05899200000002</v>
      </c>
      <c r="H235" s="261">
        <f>F235*0.124048</f>
        <v>376.85782399999999</v>
      </c>
      <c r="I235" s="259"/>
      <c r="J235" s="259"/>
      <c r="K235" s="259"/>
      <c r="L235" s="262">
        <f>SUM(G235:K235)</f>
        <v>533.91681600000004</v>
      </c>
      <c r="M235" s="263">
        <f>E243</f>
        <v>0</v>
      </c>
      <c r="N235" s="173" t="e">
        <f>E243/C243</f>
        <v>#DIV/0!</v>
      </c>
      <c r="O235" s="173" t="e">
        <f>N235*3</f>
        <v>#DIV/0!</v>
      </c>
      <c r="P235" s="173" t="e">
        <f>E243-O235</f>
        <v>#DIV/0!</v>
      </c>
      <c r="Q235" s="264"/>
      <c r="R235" s="264"/>
      <c r="S235" s="264"/>
      <c r="T235" s="264"/>
      <c r="U235" s="265">
        <f>1.0583*L243</f>
        <v>0</v>
      </c>
      <c r="V235" s="266"/>
      <c r="W235" s="264"/>
      <c r="X235" s="264"/>
      <c r="Y235" s="264"/>
      <c r="Z235" s="264"/>
      <c r="AA235" s="115"/>
      <c r="AB235" s="267"/>
      <c r="AC235" s="267"/>
      <c r="AD235" s="556">
        <f>266*2</f>
        <v>532</v>
      </c>
      <c r="AE235" s="556">
        <f>7*4*8</f>
        <v>224</v>
      </c>
      <c r="AF235" s="557">
        <f>4.3*121+6*4.3+2*32</f>
        <v>610.09999999999991</v>
      </c>
      <c r="AG235" s="557"/>
      <c r="AH235" s="118">
        <f>7*11+7*11*7+15</f>
        <v>631</v>
      </c>
      <c r="AI235" s="118"/>
      <c r="AJ235" s="118"/>
      <c r="AK235" s="118"/>
      <c r="AL235" s="557"/>
      <c r="AM235" s="116">
        <f>7*10+10*3+20*18+14*21+9*21+8*16</f>
        <v>1071</v>
      </c>
      <c r="AN235" s="268">
        <f>AA235-AB235</f>
        <v>0</v>
      </c>
      <c r="AO235" s="269">
        <f>AD235+AE235+AF235+AG235+AH235+AL235+AM235</f>
        <v>3068.1</v>
      </c>
      <c r="AP235" s="270">
        <f>(AM235+AL235+AH235)*0.3+(AG235+AF235+AE235+AD235)*0.6</f>
        <v>1330.26</v>
      </c>
      <c r="AQ235" s="115">
        <f>F235-AP235</f>
        <v>1707.74</v>
      </c>
      <c r="AR235" s="267"/>
      <c r="AS235" s="556">
        <f>AM235+AH235</f>
        <v>1702</v>
      </c>
      <c r="AT235" s="256">
        <f>AD235+AE235+AF235+AS235+AG235+AL235</f>
        <v>3068.1</v>
      </c>
      <c r="AU235" s="132">
        <f t="shared" si="73"/>
        <v>1330.26</v>
      </c>
      <c r="AV235" s="257"/>
    </row>
    <row r="236" spans="1:61" s="239" customFormat="1" thickBot="1">
      <c r="B236" s="275" t="s">
        <v>320</v>
      </c>
      <c r="C236" s="441"/>
      <c r="D236" s="441"/>
      <c r="E236" s="327">
        <f t="shared" ref="E236:J236" si="76">SUM(E232:E235)</f>
        <v>1719</v>
      </c>
      <c r="F236" s="327">
        <f t="shared" si="76"/>
        <v>7477</v>
      </c>
      <c r="G236" s="397">
        <f t="shared" si="76"/>
        <v>516.222576</v>
      </c>
      <c r="H236" s="397">
        <f t="shared" si="76"/>
        <v>927.5068960000001</v>
      </c>
      <c r="I236" s="397">
        <f t="shared" si="76"/>
        <v>40.200000000000003</v>
      </c>
      <c r="J236" s="397">
        <f t="shared" si="76"/>
        <v>7.8</v>
      </c>
      <c r="K236" s="327"/>
      <c r="L236" s="328">
        <f>SUM(L232:L235)-0.01</f>
        <v>1516.719472</v>
      </c>
      <c r="M236" s="263"/>
      <c r="N236" s="264"/>
      <c r="O236" s="173" t="s">
        <v>496</v>
      </c>
      <c r="P236" s="173" t="s">
        <v>496</v>
      </c>
      <c r="Q236" s="264"/>
      <c r="R236" s="264"/>
      <c r="S236" s="264"/>
      <c r="T236" s="264"/>
      <c r="U236" s="265"/>
      <c r="V236" s="266"/>
      <c r="W236" s="264"/>
      <c r="X236" s="264"/>
      <c r="Y236" s="264"/>
      <c r="Z236" s="264"/>
      <c r="AA236" s="115"/>
      <c r="AB236" s="115"/>
      <c r="AC236" s="385"/>
      <c r="AD236" s="385"/>
      <c r="AE236" s="385"/>
      <c r="AF236" s="385"/>
      <c r="AG236" s="385"/>
      <c r="AH236" s="307"/>
      <c r="AI236" s="307"/>
      <c r="AJ236" s="307"/>
      <c r="AK236" s="307"/>
      <c r="AL236" s="307"/>
      <c r="AM236" s="300">
        <f>AA236-AB236-AD236-AE236-AF236-AH236</f>
        <v>0</v>
      </c>
      <c r="AN236" s="269">
        <f>AA236-AB236</f>
        <v>0</v>
      </c>
      <c r="AO236" s="269">
        <f>AD236+AE236+AF236+AG236+AH236+AL236+AM236</f>
        <v>0</v>
      </c>
      <c r="AP236" s="270">
        <f>(AM236+AL236)*0.3+(AG236+AF236+AE236+AD236)*0.6</f>
        <v>0</v>
      </c>
      <c r="AQ236" s="115"/>
      <c r="AR236" s="303">
        <f>AP236*0.138562</f>
        <v>0</v>
      </c>
      <c r="AS236" s="308"/>
      <c r="AT236" s="302">
        <f>AD236+AE236+AF236+AH236+AM236</f>
        <v>0</v>
      </c>
      <c r="AU236" s="132">
        <f t="shared" si="73"/>
        <v>0</v>
      </c>
      <c r="AV236" s="257"/>
    </row>
    <row r="237" spans="1:61" s="239" customFormat="1" ht="15">
      <c r="B237" s="309" t="s">
        <v>497</v>
      </c>
      <c r="C237" s="242"/>
      <c r="D237" s="242"/>
      <c r="E237" s="242"/>
      <c r="F237" s="242"/>
      <c r="G237" s="242"/>
      <c r="H237" s="242"/>
      <c r="I237" s="242"/>
      <c r="J237" s="242"/>
      <c r="K237" s="242"/>
      <c r="L237" s="386"/>
      <c r="M237" s="264" t="e">
        <f>SUM(M19:M236)</f>
        <v>#REF!</v>
      </c>
      <c r="N237" s="264" t="e">
        <f>SUM(N19:N236)</f>
        <v>#DIV/0!</v>
      </c>
      <c r="O237" s="264" t="e">
        <f>N237*3</f>
        <v>#DIV/0!</v>
      </c>
      <c r="P237" s="173" t="e">
        <f>SUM(P19:P234)</f>
        <v>#DIV/0!</v>
      </c>
      <c r="Q237" s="264"/>
      <c r="R237" s="264"/>
      <c r="S237" s="264">
        <f>SUM(S19:S236)</f>
        <v>3732.6969326933358</v>
      </c>
      <c r="T237" s="172">
        <f>L244*1.1</f>
        <v>64536.241580800008</v>
      </c>
      <c r="U237" s="265"/>
      <c r="V237" s="266"/>
      <c r="W237" s="264"/>
      <c r="X237" s="264"/>
      <c r="Y237" s="264"/>
      <c r="Z237" s="264"/>
      <c r="AA237" s="115"/>
      <c r="AB237" s="115"/>
      <c r="AC237" s="115"/>
      <c r="AD237" s="115"/>
      <c r="AE237" s="115"/>
      <c r="AF237" s="115"/>
      <c r="AG237" s="115"/>
      <c r="AH237" s="321"/>
      <c r="AI237" s="321"/>
      <c r="AJ237" s="321"/>
      <c r="AK237" s="321"/>
      <c r="AL237" s="321"/>
      <c r="AM237" s="321"/>
      <c r="AN237" s="321"/>
      <c r="AO237" s="321"/>
      <c r="AP237" s="421"/>
      <c r="AQ237" s="321"/>
      <c r="AR237" s="422"/>
      <c r="AS237" s="423"/>
      <c r="AT237" s="316">
        <f>AD237+AE237+AF237+AH237+AM237</f>
        <v>0</v>
      </c>
      <c r="AU237" s="132">
        <f t="shared" si="73"/>
        <v>0</v>
      </c>
      <c r="AV237" s="257"/>
    </row>
    <row r="238" spans="1:61" ht="15" customHeight="1">
      <c r="A238" s="239"/>
      <c r="B238" s="240" t="s">
        <v>498</v>
      </c>
      <c r="C238" s="258">
        <v>5</v>
      </c>
      <c r="D238" s="259">
        <v>2</v>
      </c>
      <c r="E238" s="259">
        <v>140</v>
      </c>
      <c r="F238" s="259">
        <v>2057</v>
      </c>
      <c r="G238" s="261">
        <f>E238*0.300304</f>
        <v>42.042560000000002</v>
      </c>
      <c r="H238" s="261">
        <f>F238*0.124048</f>
        <v>255.16673600000001</v>
      </c>
      <c r="I238" s="259"/>
      <c r="J238" s="259"/>
      <c r="K238" s="259"/>
      <c r="L238" s="262">
        <f>SUM(G238:K238)</f>
        <v>297.20929599999999</v>
      </c>
      <c r="M238" s="263">
        <f>E246</f>
        <v>0</v>
      </c>
      <c r="N238" s="173" t="e">
        <f>E246/C246</f>
        <v>#DIV/0!</v>
      </c>
      <c r="O238" s="173" t="e">
        <f>N238*3</f>
        <v>#DIV/0!</v>
      </c>
      <c r="P238" s="173" t="e">
        <f>E246-O238</f>
        <v>#DIV/0!</v>
      </c>
      <c r="Q238" s="264"/>
      <c r="R238" s="264"/>
      <c r="S238" s="264"/>
      <c r="T238" s="264"/>
      <c r="U238" s="265">
        <f>1.0583*L246</f>
        <v>0</v>
      </c>
      <c r="V238" s="266"/>
      <c r="W238" s="264"/>
      <c r="X238" s="264"/>
      <c r="Y238" s="264"/>
      <c r="Z238" s="264"/>
      <c r="AA238" s="115"/>
      <c r="AB238" s="267"/>
      <c r="AC238" s="267"/>
      <c r="AD238" s="556">
        <f>35*2+11*2</f>
        <v>92</v>
      </c>
      <c r="AE238" s="556">
        <f>4*3*2</f>
        <v>24</v>
      </c>
      <c r="AF238" s="557">
        <f>43*3</f>
        <v>129</v>
      </c>
      <c r="AG238" s="557">
        <f>32*2+30+46*1.5</f>
        <v>163</v>
      </c>
      <c r="AH238" s="118">
        <f>11*3+10*35</f>
        <v>383</v>
      </c>
      <c r="AI238" s="118"/>
      <c r="AJ238" s="118"/>
      <c r="AK238" s="118"/>
      <c r="AL238" s="557">
        <f>1.5*6</f>
        <v>9</v>
      </c>
      <c r="AM238" s="116">
        <f>9*3*2+21*6+30*32+7*24</f>
        <v>1308</v>
      </c>
      <c r="AN238" s="268">
        <f>AA238-AB238</f>
        <v>0</v>
      </c>
      <c r="AO238" s="269">
        <f>AD238+AE238+AF238+AG238+AH238+AL238+AM238</f>
        <v>2108</v>
      </c>
      <c r="AP238" s="270">
        <f>(AM238+AL238+AH238)*0.3+(AG238+AF238+AE238+AD238)*0.6</f>
        <v>754.8</v>
      </c>
      <c r="AQ238" s="115">
        <f>F238-AP238</f>
        <v>1302.2</v>
      </c>
      <c r="AR238" s="267"/>
      <c r="AS238" s="556">
        <f>AM238+AH238</f>
        <v>1691</v>
      </c>
      <c r="AT238" s="256">
        <f>AD238+AE238+AF238+AS238+AG238+AL238</f>
        <v>2108</v>
      </c>
      <c r="AU238" s="132">
        <f t="shared" si="73"/>
        <v>754.8</v>
      </c>
      <c r="AV238" s="257"/>
      <c r="AW238" s="239"/>
      <c r="AX238" s="239"/>
      <c r="AY238" s="239"/>
      <c r="AZ238" s="239"/>
      <c r="BA238" s="239"/>
      <c r="BB238" s="239"/>
      <c r="BC238" s="239"/>
      <c r="BD238" s="239"/>
      <c r="BE238" s="239"/>
      <c r="BF238" s="239"/>
      <c r="BG238" s="239"/>
      <c r="BH238" s="239"/>
      <c r="BI238" s="239"/>
    </row>
    <row r="239" spans="1:61" ht="15" customHeight="1">
      <c r="A239" s="239">
        <v>95</v>
      </c>
      <c r="B239" s="240" t="s">
        <v>499</v>
      </c>
      <c r="C239" s="258">
        <v>5</v>
      </c>
      <c r="D239" s="259">
        <v>6</v>
      </c>
      <c r="E239" s="259">
        <v>417</v>
      </c>
      <c r="F239" s="259">
        <v>3760</v>
      </c>
      <c r="G239" s="261">
        <f>E239*0.300304</f>
        <v>125.22676800000001</v>
      </c>
      <c r="H239" s="261">
        <f>F239*0.124048</f>
        <v>466.42048</v>
      </c>
      <c r="I239" s="259"/>
      <c r="J239" s="259"/>
      <c r="K239" s="259"/>
      <c r="L239" s="262">
        <f>SUM(G239:K239)</f>
        <v>591.64724799999999</v>
      </c>
      <c r="M239" s="263">
        <f>E246</f>
        <v>0</v>
      </c>
      <c r="N239" s="173" t="e">
        <f>E246/C246</f>
        <v>#DIV/0!</v>
      </c>
      <c r="O239" s="173" t="e">
        <f>N239*3</f>
        <v>#DIV/0!</v>
      </c>
      <c r="P239" s="173" t="e">
        <f>E246-O239</f>
        <v>#DIV/0!</v>
      </c>
      <c r="Q239" s="264"/>
      <c r="R239" s="264"/>
      <c r="S239" s="264"/>
      <c r="T239" s="264"/>
      <c r="U239" s="265">
        <f>L246*V242</f>
        <v>0</v>
      </c>
      <c r="V239" s="266"/>
      <c r="W239" s="264"/>
      <c r="X239" s="264"/>
      <c r="Y239" s="264"/>
      <c r="Z239" s="264"/>
      <c r="AA239" s="115"/>
      <c r="AB239" s="267"/>
      <c r="AC239" s="267"/>
      <c r="AD239" s="556">
        <f>24*2+70</f>
        <v>118</v>
      </c>
      <c r="AE239" s="556">
        <f>4*6*3</f>
        <v>72</v>
      </c>
      <c r="AF239" s="557">
        <f>26*2.5+116*4+9*17+20*28</f>
        <v>1242</v>
      </c>
      <c r="AG239" s="557">
        <f>8*6</f>
        <v>48</v>
      </c>
      <c r="AH239" s="118">
        <f>4*8+14*4*2+12*4+10*4+20*4</f>
        <v>312</v>
      </c>
      <c r="AI239" s="118"/>
      <c r="AJ239" s="118"/>
      <c r="AK239" s="118"/>
      <c r="AL239" s="557">
        <f>12*14+10*37-10</f>
        <v>528</v>
      </c>
      <c r="AM239" s="116">
        <f>46*45/2</f>
        <v>1035</v>
      </c>
      <c r="AN239" s="268">
        <f>AA239-AB239</f>
        <v>0</v>
      </c>
      <c r="AO239" s="269">
        <f>AD239+AE239+AF239+AG239+AH239+AL239+AM239</f>
        <v>3355</v>
      </c>
      <c r="AP239" s="270">
        <f>(AM239+AL239+AH239)*0.3+(AG239+AF239+AE239+AD239)*0.6</f>
        <v>1450.5</v>
      </c>
      <c r="AQ239" s="115">
        <f>F239-AP239</f>
        <v>2309.5</v>
      </c>
      <c r="AR239" s="267"/>
      <c r="AS239" s="556">
        <f>AM239+AH239</f>
        <v>1347</v>
      </c>
      <c r="AT239" s="256">
        <f>AD239+AE239+AF239+AS239+AG239+AL239</f>
        <v>3355</v>
      </c>
      <c r="AU239" s="132">
        <f t="shared" si="73"/>
        <v>1450.5</v>
      </c>
      <c r="AV239" s="257"/>
      <c r="AW239" s="239"/>
      <c r="AX239" s="239"/>
      <c r="AY239" s="239"/>
      <c r="AZ239" s="239"/>
      <c r="BA239" s="239"/>
      <c r="BB239" s="239"/>
      <c r="BC239" s="239"/>
      <c r="BD239" s="239"/>
      <c r="BE239" s="239"/>
      <c r="BF239" s="239"/>
      <c r="BG239" s="239"/>
      <c r="BH239" s="239"/>
      <c r="BI239" s="239"/>
    </row>
    <row r="240" spans="1:61" ht="15" customHeight="1">
      <c r="A240" s="239">
        <v>72</v>
      </c>
      <c r="B240" s="240" t="s">
        <v>500</v>
      </c>
      <c r="C240" s="258">
        <v>9</v>
      </c>
      <c r="D240" s="259">
        <v>2</v>
      </c>
      <c r="E240" s="259">
        <v>682</v>
      </c>
      <c r="F240" s="259">
        <v>1476</v>
      </c>
      <c r="G240" s="261">
        <f>E240*0.300304</f>
        <v>204.80732800000001</v>
      </c>
      <c r="H240" s="261">
        <f>F240*0.124048</f>
        <v>183.09484800000001</v>
      </c>
      <c r="I240" s="261">
        <f>40.2*D240</f>
        <v>80.400000000000006</v>
      </c>
      <c r="J240" s="261">
        <f>1.95*D240</f>
        <v>3.9</v>
      </c>
      <c r="K240" s="259"/>
      <c r="L240" s="262">
        <f>SUM(G240:K240)</f>
        <v>472.20217600000001</v>
      </c>
      <c r="M240" s="263"/>
      <c r="N240" s="264"/>
      <c r="O240" s="173"/>
      <c r="P240" s="173"/>
      <c r="Q240" s="264"/>
      <c r="R240" s="264"/>
      <c r="S240" s="271">
        <f>T240-L247</f>
        <v>0</v>
      </c>
      <c r="T240" s="271">
        <f>L247*1.1</f>
        <v>0</v>
      </c>
      <c r="U240" s="265">
        <v>758.46</v>
      </c>
      <c r="V240" s="266" t="e">
        <f>U240/L247</f>
        <v>#DIV/0!</v>
      </c>
      <c r="W240" s="264"/>
      <c r="X240" s="264"/>
      <c r="Y240" s="264"/>
      <c r="Z240" s="264"/>
      <c r="AA240" s="115">
        <v>3162.22</v>
      </c>
      <c r="AB240" s="267">
        <v>689</v>
      </c>
      <c r="AC240" s="267"/>
      <c r="AD240" s="556">
        <v>131</v>
      </c>
      <c r="AE240" s="556">
        <f>6*2.2*2+6*2.5*2</f>
        <v>56.400000000000006</v>
      </c>
      <c r="AF240" s="557">
        <f>3*1.5+20+6+10*4+5*1.5+15+14*2+8*2.5+30*2+5*30+36*4+63*4</f>
        <v>747</v>
      </c>
      <c r="AG240" s="557"/>
      <c r="AH240" s="118">
        <f>2.5*9+20*6</f>
        <v>142.5</v>
      </c>
      <c r="AI240" s="118"/>
      <c r="AJ240" s="118"/>
      <c r="AK240" s="118"/>
      <c r="AL240" s="557"/>
      <c r="AM240" s="116">
        <f>10*6+23*24+5*34-40+13*57+9*16+5*14+11*30/2+32*15/2+15*15</f>
        <v>2327</v>
      </c>
      <c r="AN240" s="268">
        <f>AA240-AB240</f>
        <v>2473.2199999999998</v>
      </c>
      <c r="AO240" s="269">
        <f>AD240+AE240+AF240+AG240+AH240+AL240+AM240</f>
        <v>3403.9</v>
      </c>
      <c r="AP240" s="270">
        <f>(AM240+AL240+AH240)*0.3+(AG240+AF240+AE240+AD240)*0.6</f>
        <v>1301.49</v>
      </c>
      <c r="AQ240" s="115">
        <f>F240-AP240</f>
        <v>174.51</v>
      </c>
      <c r="AR240" s="303">
        <f>AP240*0.138562</f>
        <v>180.33705737999998</v>
      </c>
      <c r="AS240" s="556">
        <f>AM240+AH240</f>
        <v>2469.5</v>
      </c>
      <c r="AT240" s="256">
        <f>AD240+AE240+AF240+AS240+AG240+AL240</f>
        <v>3403.9</v>
      </c>
      <c r="AU240" s="132">
        <f t="shared" si="73"/>
        <v>1301.49</v>
      </c>
      <c r="AV240" s="257"/>
      <c r="AW240" s="239"/>
      <c r="AX240" s="239"/>
      <c r="AY240" s="239"/>
      <c r="AZ240" s="239"/>
      <c r="BA240" s="239"/>
      <c r="BB240" s="239"/>
      <c r="BC240" s="239"/>
      <c r="BD240" s="239"/>
      <c r="BE240" s="239"/>
      <c r="BF240" s="239"/>
      <c r="BG240" s="239"/>
      <c r="BH240" s="239"/>
      <c r="BI240" s="239"/>
    </row>
    <row r="241" spans="1:61" ht="15" customHeight="1">
      <c r="A241" s="239">
        <v>138</v>
      </c>
      <c r="B241" s="240" t="s">
        <v>501</v>
      </c>
      <c r="C241" s="258">
        <v>9</v>
      </c>
      <c r="D241" s="259">
        <v>4</v>
      </c>
      <c r="E241" s="259">
        <v>1131</v>
      </c>
      <c r="F241" s="259">
        <v>2396</v>
      </c>
      <c r="G241" s="261">
        <f>E241*0.300304</f>
        <v>339.643824</v>
      </c>
      <c r="H241" s="261">
        <f>F241*0.124048</f>
        <v>297.21900800000003</v>
      </c>
      <c r="I241" s="261">
        <f>40.2*D241</f>
        <v>160.80000000000001</v>
      </c>
      <c r="J241" s="261">
        <f>1.95*D241</f>
        <v>7.8</v>
      </c>
      <c r="K241" s="259"/>
      <c r="L241" s="402">
        <f>SUM(G241:K241)</f>
        <v>805.46283199999993</v>
      </c>
      <c r="M241" s="263" t="str">
        <f>E248</f>
        <v>_________________________</v>
      </c>
      <c r="N241" s="264"/>
      <c r="O241" s="173"/>
      <c r="P241" s="173"/>
      <c r="Q241" s="264"/>
      <c r="R241" s="264"/>
      <c r="S241" s="264"/>
      <c r="T241" s="264"/>
      <c r="U241" s="265"/>
      <c r="V241" s="266"/>
      <c r="W241" s="264"/>
      <c r="X241" s="264"/>
      <c r="Y241" s="264"/>
      <c r="Z241" s="264"/>
      <c r="AA241" s="115"/>
      <c r="AB241" s="267"/>
      <c r="AC241" s="267"/>
      <c r="AD241" s="556">
        <f>188-6*4-20</f>
        <v>144</v>
      </c>
      <c r="AE241" s="556">
        <f>6*6</f>
        <v>36</v>
      </c>
      <c r="AF241" s="557">
        <f>78*3+12*10+3.5*14+3*7+8*6</f>
        <v>472</v>
      </c>
      <c r="AG241" s="557">
        <f>71*2</f>
        <v>142</v>
      </c>
      <c r="AH241" s="118">
        <f>13*5+5*16+5*16</f>
        <v>225</v>
      </c>
      <c r="AI241" s="118"/>
      <c r="AJ241" s="118"/>
      <c r="AK241" s="118"/>
      <c r="AL241" s="557">
        <f>9*6+9*68</f>
        <v>666</v>
      </c>
      <c r="AM241" s="116">
        <f xml:space="preserve">                78*5.5-3*7+9*22+6*16</f>
        <v>702</v>
      </c>
      <c r="AN241" s="268">
        <f>AA241-AB241</f>
        <v>0</v>
      </c>
      <c r="AO241" s="269">
        <f>AD241+AE241+AF241+AG241+AH241+AL241+AM241</f>
        <v>2387</v>
      </c>
      <c r="AP241" s="270">
        <f>(AM241+AL241+AH241)*0.3+(AG241+AF241+AE241+AD241)*0.6</f>
        <v>954.3</v>
      </c>
      <c r="AQ241" s="115">
        <f>F241-AP241</f>
        <v>1441.7</v>
      </c>
      <c r="AR241" s="267"/>
      <c r="AS241" s="556">
        <f>AM241+AH241</f>
        <v>927</v>
      </c>
      <c r="AT241" s="256">
        <f>AD241+AE241+AF241+AS241+AG241+AL241</f>
        <v>2387</v>
      </c>
      <c r="AU241" s="132">
        <f t="shared" si="73"/>
        <v>954.3</v>
      </c>
      <c r="AV241" s="257"/>
      <c r="AW241" s="239"/>
      <c r="AX241" s="239"/>
      <c r="AY241" s="239"/>
      <c r="AZ241" s="239"/>
      <c r="BA241" s="239"/>
      <c r="BB241" s="239"/>
      <c r="BC241" s="239"/>
      <c r="BD241" s="239"/>
      <c r="BE241" s="239"/>
      <c r="BF241" s="239"/>
      <c r="BG241" s="239"/>
      <c r="BH241" s="239"/>
      <c r="BI241" s="239"/>
    </row>
    <row r="242" spans="1:61" thickBot="1">
      <c r="B242" s="275" t="s">
        <v>320</v>
      </c>
      <c r="C242" s="391"/>
      <c r="D242" s="391"/>
      <c r="E242" s="327">
        <f t="shared" ref="E242:L242" si="77">SUM(E238:E241)</f>
        <v>2370</v>
      </c>
      <c r="F242" s="327">
        <f t="shared" si="77"/>
        <v>9689</v>
      </c>
      <c r="G242" s="397">
        <f t="shared" si="77"/>
        <v>711.72047999999995</v>
      </c>
      <c r="H242" s="397">
        <f t="shared" si="77"/>
        <v>1201.9010720000001</v>
      </c>
      <c r="I242" s="397">
        <f t="shared" si="77"/>
        <v>241.20000000000002</v>
      </c>
      <c r="J242" s="397">
        <f t="shared" si="77"/>
        <v>11.7</v>
      </c>
      <c r="K242" s="327">
        <f t="shared" si="77"/>
        <v>0</v>
      </c>
      <c r="L242" s="328">
        <f t="shared" si="77"/>
        <v>2166.5215520000002</v>
      </c>
      <c r="M242" s="173"/>
      <c r="N242" s="173"/>
      <c r="O242" s="173"/>
      <c r="P242" s="173"/>
      <c r="Q242" s="174"/>
      <c r="R242" s="174"/>
      <c r="S242" s="174"/>
      <c r="T242" s="174"/>
      <c r="U242" s="175"/>
      <c r="V242" s="176"/>
      <c r="W242" s="174"/>
      <c r="X242" s="174"/>
      <c r="Y242" s="174"/>
      <c r="Z242" s="174"/>
      <c r="AA242" s="311"/>
      <c r="AB242" s="311"/>
      <c r="AC242" s="317"/>
      <c r="AD242" s="317"/>
      <c r="AE242" s="317"/>
      <c r="AF242" s="317"/>
      <c r="AG242" s="317"/>
      <c r="AH242" s="530"/>
      <c r="AI242" s="530"/>
      <c r="AJ242" s="530"/>
      <c r="AK242" s="530"/>
      <c r="AL242" s="530"/>
      <c r="AM242" s="300">
        <f>AA242-AB242-AD242-AE242-AF242-AH242</f>
        <v>0</v>
      </c>
      <c r="AN242" s="269">
        <f>AA242-AB242</f>
        <v>0</v>
      </c>
      <c r="AO242" s="269">
        <f>AD242+AE242+AF242+AG242+AH242+AL242+AM242</f>
        <v>0</v>
      </c>
      <c r="AP242" s="270">
        <f>(AM242+AL242)*0.3+(AG242+AF242+AE242+AD242)*0.6</f>
        <v>0</v>
      </c>
      <c r="AQ242" s="115"/>
      <c r="AR242" s="303">
        <f>AP242*0.138562</f>
        <v>0</v>
      </c>
      <c r="AS242" s="308"/>
      <c r="AT242" s="302">
        <f>AD242+AE242+AF242+AH242+AM242</f>
        <v>0</v>
      </c>
      <c r="AU242" s="132">
        <f t="shared" si="73"/>
        <v>0</v>
      </c>
      <c r="AV242" s="257"/>
    </row>
    <row r="243" spans="1:61" ht="15" customHeight="1" thickBot="1">
      <c r="B243" s="531"/>
      <c r="C243" s="453"/>
      <c r="D243" s="453"/>
      <c r="E243" s="453"/>
      <c r="F243" s="453"/>
      <c r="G243" s="453"/>
      <c r="H243" s="453"/>
      <c r="I243" s="453"/>
      <c r="J243" s="453"/>
      <c r="K243" s="453"/>
      <c r="L243" s="453"/>
      <c r="M243" s="173"/>
      <c r="N243" s="173"/>
      <c r="O243" s="173"/>
      <c r="P243" s="173"/>
      <c r="Q243" s="174"/>
      <c r="R243" s="174"/>
      <c r="S243" s="174"/>
      <c r="T243" s="174"/>
      <c r="U243" s="175"/>
      <c r="V243" s="176"/>
      <c r="W243" s="174"/>
      <c r="X243" s="174"/>
      <c r="Y243" s="174"/>
      <c r="Z243" s="174"/>
      <c r="AA243" s="311"/>
      <c r="AB243" s="311"/>
      <c r="AC243" s="532"/>
      <c r="AD243" s="532"/>
      <c r="AE243" s="532"/>
      <c r="AF243" s="532"/>
      <c r="AG243" s="532"/>
      <c r="AH243" s="533"/>
      <c r="AI243" s="533"/>
      <c r="AJ243" s="533"/>
      <c r="AK243" s="533"/>
      <c r="AL243" s="533"/>
      <c r="AM243" s="533"/>
      <c r="AN243" s="313"/>
      <c r="AO243" s="313"/>
      <c r="AP243" s="313"/>
      <c r="AQ243" s="115">
        <f>F243-AP243</f>
        <v>0</v>
      </c>
      <c r="AR243" s="303">
        <f>AP243*0.138562</f>
        <v>0</v>
      </c>
      <c r="AS243" s="322"/>
      <c r="AT243" s="534">
        <f>AD243+AE243+AF243+AH243+AM243</f>
        <v>0</v>
      </c>
      <c r="AU243" s="132">
        <f t="shared" si="73"/>
        <v>0</v>
      </c>
      <c r="AV243" s="257"/>
    </row>
    <row r="244" spans="1:61" ht="21" customHeight="1" thickBot="1">
      <c r="A244" s="127">
        <f>SUM(A19:A243)</f>
        <v>10781</v>
      </c>
      <c r="B244" s="535" t="s">
        <v>502</v>
      </c>
      <c r="C244" s="409"/>
      <c r="D244" s="391"/>
      <c r="E244" s="327">
        <f t="shared" ref="E244:L244" si="78">E242+E236+E230+E228+E223+E219+E217+E212+E210+E202+E197+E191+E186+E121+E174+E170+E166+E161+E156+E45+E151+E146+E141+E136+E131+E129+E125+E116+E111+E105+E99+E95+E93+E88+E84+E80+E76+E71+E67+E62+E56+E50+E43+E38+E34+E24+E206+E29+E179+E183</f>
        <v>67532</v>
      </c>
      <c r="F244" s="327">
        <f t="shared" si="78"/>
        <v>256427</v>
      </c>
      <c r="G244" s="327">
        <f t="shared" si="78"/>
        <v>19282.509839999995</v>
      </c>
      <c r="H244" s="327">
        <f t="shared" si="78"/>
        <v>33406.87068800001</v>
      </c>
      <c r="I244" s="327">
        <f t="shared" si="78"/>
        <v>3979.8000000000006</v>
      </c>
      <c r="J244" s="327">
        <f t="shared" si="78"/>
        <v>185.25</v>
      </c>
      <c r="K244" s="327">
        <f t="shared" si="78"/>
        <v>350</v>
      </c>
      <c r="L244" s="327">
        <f t="shared" si="78"/>
        <v>58669.310528000002</v>
      </c>
      <c r="M244" s="281"/>
      <c r="N244" s="281"/>
      <c r="O244" s="281"/>
      <c r="P244" s="281"/>
      <c r="Q244" s="536"/>
      <c r="R244" s="536"/>
      <c r="S244" s="536"/>
      <c r="T244" s="536"/>
      <c r="U244" s="537"/>
      <c r="V244" s="538"/>
      <c r="W244" s="536"/>
      <c r="X244" s="536"/>
      <c r="Y244" s="536"/>
      <c r="Z244" s="536"/>
      <c r="AA244" s="539"/>
      <c r="AB244" s="540"/>
      <c r="AC244" s="536"/>
      <c r="AD244" s="541">
        <f>SUBTOTAL(9,AD17:AD243)</f>
        <v>19219.159999999996</v>
      </c>
      <c r="AE244" s="541">
        <f t="shared" ref="AE244:AS244" si="79">SUBTOTAL(9,AE17:AE243)</f>
        <v>11157.96</v>
      </c>
      <c r="AF244" s="541">
        <f t="shared" si="79"/>
        <v>65292.689999999995</v>
      </c>
      <c r="AG244" s="541">
        <f t="shared" si="79"/>
        <v>3517.9250000000002</v>
      </c>
      <c r="AH244" s="541">
        <f t="shared" si="79"/>
        <v>31593.590000000004</v>
      </c>
      <c r="AI244" s="541"/>
      <c r="AJ244" s="541"/>
      <c r="AK244" s="541"/>
      <c r="AL244" s="541">
        <f t="shared" si="79"/>
        <v>21358.45</v>
      </c>
      <c r="AM244" s="541">
        <f t="shared" si="79"/>
        <v>203415.92674054857</v>
      </c>
      <c r="AN244" s="541">
        <f t="shared" si="79"/>
        <v>173930.83674054858</v>
      </c>
      <c r="AO244" s="541">
        <f t="shared" si="79"/>
        <v>355531.70174054848</v>
      </c>
      <c r="AP244" s="541">
        <f t="shared" si="79"/>
        <v>132125.38802216461</v>
      </c>
      <c r="AQ244" s="541">
        <f t="shared" si="79"/>
        <v>257117.61197783551</v>
      </c>
      <c r="AR244" s="541">
        <f t="shared" si="79"/>
        <v>11030.975046646168</v>
      </c>
      <c r="AS244" s="541">
        <f t="shared" si="79"/>
        <v>235003.51674054857</v>
      </c>
      <c r="AT244" s="542">
        <f>SUBTOTAL(9,AT17:AT243)</f>
        <v>355530.70174054848</v>
      </c>
      <c r="AU244" s="542">
        <f>SUBTOTAL(9,AU17:AU243)</f>
        <v>136408.93102216462</v>
      </c>
      <c r="AV244" s="239"/>
      <c r="AW244" s="239"/>
      <c r="AX244" s="239"/>
      <c r="AY244" s="239"/>
      <c r="AZ244" s="239"/>
      <c r="BA244" s="239"/>
      <c r="BB244" s="239"/>
      <c r="BC244" s="239"/>
      <c r="BD244" s="239"/>
      <c r="BE244" s="239"/>
      <c r="BF244" s="239"/>
      <c r="BG244" s="239"/>
      <c r="BH244" s="239"/>
      <c r="BI244" s="239"/>
    </row>
    <row r="245" spans="1:61" ht="15">
      <c r="B245" s="543"/>
      <c r="C245" s="543"/>
      <c r="D245" s="544"/>
      <c r="E245" s="543"/>
      <c r="F245" s="543"/>
      <c r="G245" s="543"/>
      <c r="H245" s="543"/>
      <c r="I245" s="543"/>
      <c r="J245" s="543"/>
      <c r="K245" s="356"/>
      <c r="L245" s="543"/>
      <c r="AF245" s="125"/>
      <c r="AG245" s="125"/>
      <c r="AH245" s="545"/>
      <c r="AI245" s="545"/>
      <c r="AJ245" s="545"/>
      <c r="AK245" s="545"/>
      <c r="AL245" s="545"/>
      <c r="AM245" s="545"/>
      <c r="AN245" s="545"/>
      <c r="AO245" s="545"/>
      <c r="AQ245" s="239"/>
      <c r="AT245" s="546">
        <f>SUM(AT19:AT242)</f>
        <v>355522.70174054848</v>
      </c>
      <c r="AU245" s="125">
        <v>50</v>
      </c>
    </row>
    <row r="246" spans="1:61" ht="15">
      <c r="B246" s="543"/>
      <c r="C246" s="543"/>
      <c r="D246" s="543"/>
      <c r="E246" s="543"/>
      <c r="F246" s="543"/>
      <c r="G246" s="543"/>
      <c r="H246" s="543"/>
      <c r="I246" s="543"/>
      <c r="J246" s="543"/>
      <c r="K246" s="356"/>
      <c r="L246" s="543"/>
      <c r="P246" s="127" t="e">
        <f>M237-[3]дворники!J324</f>
        <v>#REF!</v>
      </c>
      <c r="AF246" s="125"/>
      <c r="AG246" s="125"/>
      <c r="AH246" s="131"/>
      <c r="AI246" s="131"/>
      <c r="AJ246" s="131"/>
      <c r="AK246" s="131"/>
      <c r="AL246" s="131"/>
      <c r="AM246" s="131"/>
      <c r="AQ246" s="239"/>
      <c r="AT246" s="547">
        <f>358061-AT244</f>
        <v>2530.2982594515197</v>
      </c>
      <c r="AU246" s="125">
        <f>AU244/AU245</f>
        <v>2728.1786204432924</v>
      </c>
    </row>
    <row r="247" spans="1:61" ht="15">
      <c r="B247" s="548" t="s">
        <v>503</v>
      </c>
      <c r="C247" s="549"/>
      <c r="D247" s="550"/>
      <c r="E247" s="550"/>
      <c r="F247" s="550"/>
      <c r="G247" s="549"/>
      <c r="H247" s="549"/>
      <c r="I247" s="543"/>
      <c r="J247" s="543"/>
      <c r="K247" s="356"/>
      <c r="L247" s="543"/>
      <c r="AF247" s="125"/>
      <c r="AG247" s="125"/>
      <c r="AH247" s="131"/>
      <c r="AI247" s="131"/>
      <c r="AJ247" s="131"/>
      <c r="AK247" s="131"/>
      <c r="AL247" s="131"/>
      <c r="AM247" s="131"/>
      <c r="AQ247" s="239"/>
      <c r="AT247" s="547"/>
      <c r="AU247" s="125"/>
    </row>
    <row r="248" spans="1:61" ht="15">
      <c r="B248" s="548" t="s">
        <v>504</v>
      </c>
      <c r="C248" s="549"/>
      <c r="D248" s="550"/>
      <c r="E248" s="551" t="s">
        <v>505</v>
      </c>
      <c r="F248" s="551"/>
      <c r="G248" s="549" t="s">
        <v>506</v>
      </c>
      <c r="H248" s="552"/>
      <c r="I248" s="174"/>
      <c r="J248" s="174"/>
      <c r="K248" s="173"/>
      <c r="L248" s="174"/>
      <c r="AF248" s="125"/>
      <c r="AG248" s="125"/>
      <c r="AH248" s="131"/>
      <c r="AI248" s="131"/>
      <c r="AJ248" s="131"/>
      <c r="AK248" s="131"/>
      <c r="AL248" s="131"/>
      <c r="AM248" s="131"/>
      <c r="AQ248" s="239"/>
    </row>
    <row r="249" spans="1:61" ht="15">
      <c r="B249" s="548"/>
      <c r="C249" s="549"/>
      <c r="D249" s="550"/>
      <c r="E249" s="553"/>
      <c r="F249" s="553"/>
      <c r="G249" s="549"/>
      <c r="H249" s="552"/>
      <c r="I249" s="174"/>
      <c r="J249" s="174"/>
      <c r="K249" s="173"/>
      <c r="L249" s="174"/>
      <c r="AQ249" s="239"/>
      <c r="AT249" s="547">
        <f>AD244+AE244+AF244+AG244</f>
        <v>99187.735000000001</v>
      </c>
      <c r="AU249" s="125"/>
    </row>
    <row r="250" spans="1:61" ht="15">
      <c r="B250" s="548"/>
      <c r="C250" s="549"/>
      <c r="D250" s="550"/>
      <c r="E250" s="554"/>
      <c r="F250" s="551"/>
      <c r="G250" s="549" t="s">
        <v>507</v>
      </c>
      <c r="H250" s="552"/>
      <c r="I250" s="174"/>
      <c r="J250" s="174"/>
      <c r="K250" s="173"/>
      <c r="L250" s="174"/>
      <c r="AQ250" s="239"/>
      <c r="AT250" s="547">
        <f>AT249*0.6</f>
        <v>59512.640999999996</v>
      </c>
      <c r="AU250" s="125"/>
    </row>
    <row r="251" spans="1:61" ht="15">
      <c r="B251" s="548" t="s">
        <v>508</v>
      </c>
      <c r="C251" s="549"/>
      <c r="D251" s="550"/>
      <c r="E251" s="550"/>
      <c r="F251" s="550"/>
      <c r="G251" s="549"/>
      <c r="H251" s="549"/>
      <c r="I251" s="174"/>
      <c r="J251" s="174"/>
      <c r="K251" s="173"/>
      <c r="L251" s="174"/>
      <c r="AQ251" s="239"/>
      <c r="AT251" s="547">
        <f>AS244+AL244</f>
        <v>256361.96674054858</v>
      </c>
      <c r="AU251" s="125"/>
    </row>
    <row r="252" spans="1:61" ht="15">
      <c r="B252" s="548" t="s">
        <v>509</v>
      </c>
      <c r="C252" s="549" t="s">
        <v>510</v>
      </c>
      <c r="D252" s="549"/>
      <c r="E252" s="550"/>
      <c r="F252" s="550"/>
      <c r="G252" s="549"/>
      <c r="H252" s="549"/>
      <c r="AT252" s="547">
        <f>AT251*0.3</f>
        <v>76908.590022164572</v>
      </c>
      <c r="AU252" s="125"/>
    </row>
    <row r="253" spans="1:61" ht="15">
      <c r="B253" s="548" t="s">
        <v>511</v>
      </c>
      <c r="C253" s="549"/>
      <c r="D253" s="550"/>
      <c r="E253" s="550"/>
      <c r="F253" s="550"/>
      <c r="G253" s="549"/>
      <c r="H253" s="549"/>
      <c r="AT253" s="547">
        <f>AT250+AT252</f>
        <v>136421.23102216457</v>
      </c>
      <c r="AU253" s="125"/>
    </row>
    <row r="254" spans="1:61" ht="15">
      <c r="B254" s="548" t="s">
        <v>512</v>
      </c>
      <c r="C254" s="549"/>
      <c r="D254" s="550"/>
      <c r="E254" s="550"/>
      <c r="F254" s="550"/>
      <c r="G254" s="549"/>
      <c r="H254" s="549"/>
    </row>
    <row r="255" spans="1:61" ht="15">
      <c r="B255" s="548" t="s">
        <v>513</v>
      </c>
      <c r="C255" s="549"/>
      <c r="D255" s="550"/>
      <c r="E255" s="550"/>
      <c r="F255" s="550"/>
      <c r="G255" s="549"/>
      <c r="H255" s="549"/>
    </row>
    <row r="256" spans="1:61" ht="15">
      <c r="B256" s="548" t="s">
        <v>514</v>
      </c>
      <c r="C256" s="549"/>
      <c r="D256" s="550"/>
      <c r="E256" s="550"/>
      <c r="F256" s="550"/>
      <c r="G256" s="549"/>
      <c r="H256" s="549"/>
    </row>
    <row r="257" spans="2:41" ht="15">
      <c r="B257" s="548"/>
      <c r="C257" s="549"/>
      <c r="D257" s="550"/>
      <c r="E257" s="550"/>
      <c r="F257" s="550"/>
      <c r="G257" s="549"/>
      <c r="H257" s="549"/>
    </row>
    <row r="258" spans="2:41" ht="15">
      <c r="B258" s="548"/>
      <c r="C258" s="549"/>
      <c r="D258" s="550"/>
      <c r="E258" s="550"/>
      <c r="F258" s="550"/>
      <c r="G258" s="549"/>
      <c r="H258" s="549"/>
    </row>
    <row r="259" spans="2:41" ht="15">
      <c r="B259" s="548"/>
      <c r="C259" s="549"/>
      <c r="D259" s="550"/>
      <c r="E259" s="550"/>
      <c r="F259" s="550"/>
      <c r="G259" s="549"/>
      <c r="H259" s="549"/>
    </row>
    <row r="260" spans="2:41" ht="15">
      <c r="H260" s="549"/>
    </row>
    <row r="261" spans="2:41" ht="15">
      <c r="B261" s="548"/>
      <c r="C261" s="549"/>
      <c r="D261" s="550"/>
      <c r="E261" s="550"/>
      <c r="F261" s="550"/>
      <c r="G261" s="549"/>
      <c r="H261" s="549"/>
    </row>
    <row r="262" spans="2:41" ht="15">
      <c r="I262" s="125" t="s">
        <v>515</v>
      </c>
      <c r="L262" s="125" t="s">
        <v>516</v>
      </c>
      <c r="AH262" s="130" t="s">
        <v>517</v>
      </c>
      <c r="AN262" s="555"/>
      <c r="AO262" s="555"/>
    </row>
    <row r="263" spans="2:41" ht="15">
      <c r="L263" s="125" t="s">
        <v>518</v>
      </c>
      <c r="AH263" s="130" t="s">
        <v>519</v>
      </c>
    </row>
    <row r="265" spans="2:41" ht="15">
      <c r="I265" s="125" t="s">
        <v>520</v>
      </c>
      <c r="J265" s="125" t="s">
        <v>521</v>
      </c>
      <c r="K265" s="127" t="s">
        <v>522</v>
      </c>
    </row>
    <row r="266" spans="2:41" ht="15">
      <c r="J266" s="125" t="s">
        <v>523</v>
      </c>
      <c r="K266" s="127" t="s">
        <v>524</v>
      </c>
    </row>
  </sheetData>
  <autoFilter ref="A17:AT248"/>
  <mergeCells count="2">
    <mergeCell ref="B9:L9"/>
    <mergeCell ref="AT12:AT15"/>
  </mergeCells>
  <pageMargins left="0.51181102362204722" right="0" top="0" bottom="0" header="0.31496062992125984" footer="0.31496062992125984"/>
  <pageSetup paperSize="9" scale="90" orientation="portrait" r:id="rId1"/>
  <ignoredErrors>
    <ignoredError sqref="AD22:AE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H36" sqref="H36"/>
    </sheetView>
  </sheetViews>
  <sheetFormatPr defaultColWidth="9.140625" defaultRowHeight="12.75"/>
  <cols>
    <col min="1" max="1" width="28.85546875" style="603" customWidth="1"/>
    <col min="2" max="2" width="7" style="603" bestFit="1" customWidth="1"/>
    <col min="3" max="3" width="7.85546875" style="603" bestFit="1" customWidth="1"/>
    <col min="4" max="4" width="5.140625" style="603" bestFit="1" customWidth="1"/>
    <col min="5" max="5" width="7" style="603" customWidth="1"/>
    <col min="6" max="6" width="7" style="603" bestFit="1" customWidth="1"/>
    <col min="7" max="8" width="6" style="603" bestFit="1" customWidth="1"/>
    <col min="9" max="9" width="8.42578125" style="603" bestFit="1" customWidth="1"/>
    <col min="10" max="10" width="6.85546875" style="603" customWidth="1"/>
    <col min="11" max="12" width="6" style="603" bestFit="1" customWidth="1"/>
    <col min="13" max="13" width="8.42578125" style="603" bestFit="1" customWidth="1"/>
    <col min="14" max="14" width="7" style="603" customWidth="1"/>
    <col min="15" max="15" width="7.5703125" style="603" bestFit="1" customWidth="1"/>
    <col min="16" max="16" width="6.85546875" style="603" bestFit="1" customWidth="1"/>
    <col min="17" max="17" width="7.85546875" style="603" bestFit="1" customWidth="1"/>
    <col min="18" max="18" width="9.140625" style="603"/>
    <col min="19" max="19" width="7.28515625" style="603" customWidth="1"/>
    <col min="20" max="20" width="8.28515625" style="603" bestFit="1" customWidth="1"/>
    <col min="21" max="16384" width="9.140625" style="603"/>
  </cols>
  <sheetData>
    <row r="1" spans="1:21" ht="18.75">
      <c r="A1" s="607" t="s">
        <v>753</v>
      </c>
    </row>
    <row r="3" spans="1:21" ht="38.25">
      <c r="A3" s="608" t="s">
        <v>752</v>
      </c>
      <c r="B3" s="608" t="s">
        <v>751</v>
      </c>
      <c r="C3" s="608" t="s">
        <v>750</v>
      </c>
      <c r="D3" s="608" t="s">
        <v>749</v>
      </c>
      <c r="E3" s="609" t="s">
        <v>748</v>
      </c>
      <c r="F3" s="608" t="s">
        <v>747</v>
      </c>
      <c r="G3" s="608" t="s">
        <v>746</v>
      </c>
      <c r="H3" s="608" t="s">
        <v>745</v>
      </c>
      <c r="I3" s="608" t="s">
        <v>744</v>
      </c>
      <c r="J3" s="609" t="s">
        <v>743</v>
      </c>
      <c r="K3" s="608" t="s">
        <v>742</v>
      </c>
      <c r="L3" s="608" t="s">
        <v>741</v>
      </c>
      <c r="M3" s="608" t="s">
        <v>740</v>
      </c>
      <c r="N3" s="609" t="s">
        <v>739</v>
      </c>
      <c r="O3" s="608" t="s">
        <v>738</v>
      </c>
      <c r="P3" s="608" t="s">
        <v>737</v>
      </c>
      <c r="Q3" s="608" t="s">
        <v>736</v>
      </c>
      <c r="R3" s="608" t="s">
        <v>735</v>
      </c>
      <c r="S3" s="609" t="s">
        <v>734</v>
      </c>
      <c r="T3" s="608" t="s">
        <v>733</v>
      </c>
    </row>
    <row r="4" spans="1:21">
      <c r="A4" s="605" t="s">
        <v>732</v>
      </c>
      <c r="B4" s="605">
        <v>31</v>
      </c>
      <c r="C4" s="605">
        <v>28</v>
      </c>
      <c r="D4" s="605">
        <v>31</v>
      </c>
      <c r="E4" s="604">
        <v>90</v>
      </c>
      <c r="F4" s="605">
        <v>30</v>
      </c>
      <c r="G4" s="605">
        <v>31</v>
      </c>
      <c r="H4" s="605">
        <v>30</v>
      </c>
      <c r="I4" s="604">
        <v>91</v>
      </c>
      <c r="J4" s="604">
        <v>181</v>
      </c>
      <c r="K4" s="605">
        <v>31</v>
      </c>
      <c r="L4" s="605">
        <v>31</v>
      </c>
      <c r="M4" s="605">
        <v>30</v>
      </c>
      <c r="N4" s="604">
        <v>92</v>
      </c>
      <c r="O4" s="605">
        <v>31</v>
      </c>
      <c r="P4" s="605">
        <v>30</v>
      </c>
      <c r="Q4" s="605">
        <v>31</v>
      </c>
      <c r="R4" s="604">
        <v>92</v>
      </c>
      <c r="S4" s="604">
        <v>184</v>
      </c>
      <c r="T4" s="604">
        <v>365</v>
      </c>
    </row>
    <row r="5" spans="1:21">
      <c r="A5" s="605" t="s">
        <v>731</v>
      </c>
      <c r="B5" s="605">
        <v>2</v>
      </c>
      <c r="C5" s="605">
        <v>0</v>
      </c>
      <c r="D5" s="605">
        <v>1</v>
      </c>
      <c r="E5" s="604">
        <v>3</v>
      </c>
      <c r="F5" s="605">
        <v>1</v>
      </c>
      <c r="G5" s="605">
        <v>3</v>
      </c>
      <c r="H5" s="605">
        <v>2</v>
      </c>
      <c r="I5" s="604">
        <v>6</v>
      </c>
      <c r="J5" s="604">
        <v>9</v>
      </c>
      <c r="K5" s="605">
        <v>0</v>
      </c>
      <c r="L5" s="605">
        <v>1</v>
      </c>
      <c r="M5" s="605">
        <v>0</v>
      </c>
      <c r="N5" s="604">
        <v>1</v>
      </c>
      <c r="O5" s="605">
        <v>0</v>
      </c>
      <c r="P5" s="605">
        <v>0</v>
      </c>
      <c r="Q5" s="605">
        <v>0</v>
      </c>
      <c r="R5" s="604">
        <v>0</v>
      </c>
      <c r="S5" s="604">
        <v>1</v>
      </c>
      <c r="T5" s="604">
        <v>10</v>
      </c>
    </row>
    <row r="6" spans="1:21">
      <c r="A6" s="605" t="s">
        <v>730</v>
      </c>
      <c r="B6" s="605">
        <v>29</v>
      </c>
      <c r="C6" s="605">
        <v>28</v>
      </c>
      <c r="D6" s="605">
        <v>30</v>
      </c>
      <c r="E6" s="604">
        <v>87</v>
      </c>
      <c r="F6" s="605">
        <v>29</v>
      </c>
      <c r="G6" s="605">
        <v>28</v>
      </c>
      <c r="H6" s="605">
        <v>28</v>
      </c>
      <c r="I6" s="604">
        <v>85</v>
      </c>
      <c r="J6" s="604">
        <v>172</v>
      </c>
      <c r="K6" s="605">
        <v>31</v>
      </c>
      <c r="L6" s="605">
        <v>30</v>
      </c>
      <c r="M6" s="605">
        <v>30</v>
      </c>
      <c r="N6" s="604">
        <v>91</v>
      </c>
      <c r="O6" s="605">
        <v>31</v>
      </c>
      <c r="P6" s="605">
        <v>30</v>
      </c>
      <c r="Q6" s="605">
        <v>31</v>
      </c>
      <c r="R6" s="604">
        <v>92</v>
      </c>
      <c r="S6" s="604">
        <v>183</v>
      </c>
      <c r="T6" s="604">
        <v>355</v>
      </c>
    </row>
    <row r="7" spans="1:21">
      <c r="A7" s="605" t="s">
        <v>729</v>
      </c>
      <c r="B7" s="605">
        <v>8</v>
      </c>
      <c r="C7" s="605">
        <v>8</v>
      </c>
      <c r="D7" s="605">
        <v>10</v>
      </c>
      <c r="E7" s="604">
        <v>26</v>
      </c>
      <c r="F7" s="605">
        <v>8</v>
      </c>
      <c r="G7" s="605">
        <v>9</v>
      </c>
      <c r="H7" s="605">
        <v>9</v>
      </c>
      <c r="I7" s="604">
        <v>26</v>
      </c>
      <c r="J7" s="604">
        <v>52</v>
      </c>
      <c r="K7" s="605">
        <v>8</v>
      </c>
      <c r="L7" s="605">
        <v>10</v>
      </c>
      <c r="M7" s="605">
        <v>8</v>
      </c>
      <c r="N7" s="604">
        <v>26</v>
      </c>
      <c r="O7" s="605">
        <v>8</v>
      </c>
      <c r="P7" s="605">
        <v>10</v>
      </c>
      <c r="Q7" s="605">
        <v>8</v>
      </c>
      <c r="R7" s="604">
        <v>26</v>
      </c>
      <c r="S7" s="604">
        <v>52</v>
      </c>
      <c r="T7" s="604">
        <v>104</v>
      </c>
    </row>
    <row r="8" spans="1:21">
      <c r="A8" s="605" t="s">
        <v>728</v>
      </c>
      <c r="B8" s="605">
        <v>10</v>
      </c>
      <c r="C8" s="605">
        <v>8</v>
      </c>
      <c r="D8" s="605">
        <v>11</v>
      </c>
      <c r="E8" s="604">
        <v>29</v>
      </c>
      <c r="F8" s="605">
        <v>9</v>
      </c>
      <c r="G8" s="605">
        <v>12</v>
      </c>
      <c r="H8" s="605">
        <v>11</v>
      </c>
      <c r="I8" s="604">
        <v>32</v>
      </c>
      <c r="J8" s="604">
        <v>61</v>
      </c>
      <c r="K8" s="605">
        <v>8</v>
      </c>
      <c r="L8" s="605">
        <v>11</v>
      </c>
      <c r="M8" s="605">
        <v>8</v>
      </c>
      <c r="N8" s="604">
        <v>27</v>
      </c>
      <c r="O8" s="605">
        <v>8</v>
      </c>
      <c r="P8" s="605">
        <v>10</v>
      </c>
      <c r="Q8" s="605">
        <v>8</v>
      </c>
      <c r="R8" s="604">
        <v>26</v>
      </c>
      <c r="S8" s="604">
        <v>53</v>
      </c>
      <c r="T8" s="604">
        <v>114</v>
      </c>
    </row>
    <row r="9" spans="1:21">
      <c r="A9" s="605" t="s">
        <v>727</v>
      </c>
      <c r="B9" s="605">
        <v>21</v>
      </c>
      <c r="C9" s="605">
        <v>20</v>
      </c>
      <c r="D9" s="605">
        <v>20</v>
      </c>
      <c r="E9" s="604">
        <v>61</v>
      </c>
      <c r="F9" s="605">
        <v>21</v>
      </c>
      <c r="G9" s="605">
        <v>19</v>
      </c>
      <c r="H9" s="605">
        <v>19</v>
      </c>
      <c r="I9" s="604">
        <v>59</v>
      </c>
      <c r="J9" s="604">
        <v>120</v>
      </c>
      <c r="K9" s="605">
        <v>23</v>
      </c>
      <c r="L9" s="605">
        <v>20</v>
      </c>
      <c r="M9" s="605">
        <v>22</v>
      </c>
      <c r="N9" s="604">
        <v>65</v>
      </c>
      <c r="O9" s="605">
        <v>23</v>
      </c>
      <c r="P9" s="605">
        <v>20</v>
      </c>
      <c r="Q9" s="605">
        <v>23</v>
      </c>
      <c r="R9" s="604">
        <v>66</v>
      </c>
      <c r="S9" s="604">
        <v>131</v>
      </c>
      <c r="T9" s="610">
        <v>251</v>
      </c>
    </row>
    <row r="11" spans="1:21">
      <c r="A11" s="606" t="s">
        <v>726</v>
      </c>
    </row>
    <row r="12" spans="1:21">
      <c r="A12" s="605" t="s">
        <v>725</v>
      </c>
      <c r="B12" s="605">
        <v>167</v>
      </c>
      <c r="C12" s="605">
        <v>160</v>
      </c>
      <c r="D12" s="605">
        <v>159</v>
      </c>
      <c r="E12" s="604">
        <v>486</v>
      </c>
      <c r="F12" s="605">
        <v>167</v>
      </c>
      <c r="G12" s="605">
        <v>151</v>
      </c>
      <c r="H12" s="605">
        <v>151</v>
      </c>
      <c r="I12" s="604">
        <v>469</v>
      </c>
      <c r="J12" s="604">
        <v>955</v>
      </c>
      <c r="K12" s="605">
        <v>184</v>
      </c>
      <c r="L12" s="605">
        <v>160</v>
      </c>
      <c r="M12" s="605">
        <v>176</v>
      </c>
      <c r="N12" s="604">
        <v>520</v>
      </c>
      <c r="O12" s="605">
        <v>184</v>
      </c>
      <c r="P12" s="605">
        <v>160</v>
      </c>
      <c r="Q12" s="605">
        <v>183</v>
      </c>
      <c r="R12" s="604">
        <v>527</v>
      </c>
      <c r="S12" s="604">
        <v>1047</v>
      </c>
      <c r="T12" s="610">
        <v>2002</v>
      </c>
      <c r="U12" s="610">
        <f>ROUND(T12/12,2)</f>
        <v>166.83</v>
      </c>
    </row>
    <row r="13" spans="1:21">
      <c r="A13" s="605" t="s">
        <v>724</v>
      </c>
      <c r="B13" s="605">
        <v>163.80000000000001</v>
      </c>
      <c r="C13" s="605">
        <v>156</v>
      </c>
      <c r="D13" s="605">
        <v>156</v>
      </c>
      <c r="E13" s="604">
        <v>475.8</v>
      </c>
      <c r="F13" s="605">
        <v>163.80000000000001</v>
      </c>
      <c r="G13" s="605">
        <v>148.19999999999999</v>
      </c>
      <c r="H13" s="605">
        <v>148.19999999999999</v>
      </c>
      <c r="I13" s="604">
        <v>460.2</v>
      </c>
      <c r="J13" s="604">
        <v>936</v>
      </c>
      <c r="K13" s="605">
        <v>179.4</v>
      </c>
      <c r="L13" s="605">
        <v>156</v>
      </c>
      <c r="M13" s="605">
        <v>171.6</v>
      </c>
      <c r="N13" s="604">
        <v>507</v>
      </c>
      <c r="O13" s="605">
        <v>179.4</v>
      </c>
      <c r="P13" s="605">
        <v>156</v>
      </c>
      <c r="Q13" s="605">
        <v>179.4</v>
      </c>
      <c r="R13" s="604">
        <v>514.79999999999995</v>
      </c>
      <c r="S13" s="604">
        <v>1021.8</v>
      </c>
      <c r="T13" s="604">
        <v>1957.8</v>
      </c>
    </row>
    <row r="14" spans="1:21">
      <c r="A14" s="605" t="s">
        <v>723</v>
      </c>
      <c r="B14" s="605">
        <v>161.69999999999999</v>
      </c>
      <c r="C14" s="605">
        <v>154</v>
      </c>
      <c r="D14" s="605">
        <v>154</v>
      </c>
      <c r="E14" s="604">
        <v>469.7</v>
      </c>
      <c r="F14" s="605">
        <v>161.69999999999999</v>
      </c>
      <c r="G14" s="605">
        <v>146.30000000000001</v>
      </c>
      <c r="H14" s="605">
        <v>146.30000000000001</v>
      </c>
      <c r="I14" s="604">
        <v>454.3</v>
      </c>
      <c r="J14" s="604">
        <v>924</v>
      </c>
      <c r="K14" s="605">
        <v>177.1</v>
      </c>
      <c r="L14" s="605">
        <v>154</v>
      </c>
      <c r="M14" s="605">
        <v>169.4</v>
      </c>
      <c r="N14" s="604">
        <v>500.5</v>
      </c>
      <c r="O14" s="605">
        <v>177.1</v>
      </c>
      <c r="P14" s="605">
        <v>154</v>
      </c>
      <c r="Q14" s="605">
        <v>177.1</v>
      </c>
      <c r="R14" s="604">
        <v>508.2</v>
      </c>
      <c r="S14" s="604">
        <v>1008.7</v>
      </c>
      <c r="T14" s="604">
        <v>1932.7</v>
      </c>
    </row>
    <row r="15" spans="1:21">
      <c r="A15" s="605" t="s">
        <v>722</v>
      </c>
      <c r="B15" s="605">
        <v>151.19999999999999</v>
      </c>
      <c r="C15" s="605">
        <v>144</v>
      </c>
      <c r="D15" s="605">
        <v>144</v>
      </c>
      <c r="E15" s="604">
        <v>439.2</v>
      </c>
      <c r="F15" s="605">
        <v>151.19999999999999</v>
      </c>
      <c r="G15" s="605">
        <v>136.80000000000001</v>
      </c>
      <c r="H15" s="605">
        <v>136.80000000000001</v>
      </c>
      <c r="I15" s="604">
        <v>424.8</v>
      </c>
      <c r="J15" s="604">
        <v>864</v>
      </c>
      <c r="K15" s="605">
        <v>165.6</v>
      </c>
      <c r="L15" s="605">
        <v>144</v>
      </c>
      <c r="M15" s="605">
        <v>158.4</v>
      </c>
      <c r="N15" s="604">
        <v>468</v>
      </c>
      <c r="O15" s="605">
        <v>165.6</v>
      </c>
      <c r="P15" s="605">
        <v>144</v>
      </c>
      <c r="Q15" s="605">
        <v>165.6</v>
      </c>
      <c r="R15" s="604">
        <v>475.2</v>
      </c>
      <c r="S15" s="604">
        <v>943.2</v>
      </c>
      <c r="T15" s="604">
        <v>1807.2</v>
      </c>
    </row>
    <row r="16" spans="1:21">
      <c r="A16" s="605" t="s">
        <v>721</v>
      </c>
      <c r="B16" s="605">
        <v>138.6</v>
      </c>
      <c r="C16" s="605">
        <v>132</v>
      </c>
      <c r="D16" s="605">
        <v>132</v>
      </c>
      <c r="E16" s="604">
        <v>402.6</v>
      </c>
      <c r="F16" s="605">
        <v>138.6</v>
      </c>
      <c r="G16" s="605">
        <v>125.4</v>
      </c>
      <c r="H16" s="605">
        <v>125.4</v>
      </c>
      <c r="I16" s="604">
        <v>389.4</v>
      </c>
      <c r="J16" s="604">
        <v>792</v>
      </c>
      <c r="K16" s="605">
        <v>151.80000000000001</v>
      </c>
      <c r="L16" s="605">
        <v>132</v>
      </c>
      <c r="M16" s="605">
        <v>145.19999999999999</v>
      </c>
      <c r="N16" s="604">
        <v>429</v>
      </c>
      <c r="O16" s="605">
        <v>151.80000000000001</v>
      </c>
      <c r="P16" s="605">
        <v>132</v>
      </c>
      <c r="Q16" s="605">
        <v>151.80000000000001</v>
      </c>
      <c r="R16" s="604">
        <v>435.6</v>
      </c>
      <c r="S16" s="604">
        <v>864.6</v>
      </c>
      <c r="T16" s="604">
        <v>1656.6</v>
      </c>
    </row>
    <row r="17" spans="1:20">
      <c r="A17" s="605" t="s">
        <v>720</v>
      </c>
      <c r="B17" s="605">
        <v>126</v>
      </c>
      <c r="C17" s="605">
        <v>120</v>
      </c>
      <c r="D17" s="605">
        <v>120</v>
      </c>
      <c r="E17" s="604">
        <v>366</v>
      </c>
      <c r="F17" s="605">
        <v>126</v>
      </c>
      <c r="G17" s="605">
        <v>114</v>
      </c>
      <c r="H17" s="605">
        <v>114</v>
      </c>
      <c r="I17" s="604">
        <v>354</v>
      </c>
      <c r="J17" s="604">
        <v>720</v>
      </c>
      <c r="K17" s="605">
        <v>138</v>
      </c>
      <c r="L17" s="605">
        <v>120</v>
      </c>
      <c r="M17" s="605">
        <v>132</v>
      </c>
      <c r="N17" s="604">
        <v>390</v>
      </c>
      <c r="O17" s="605">
        <v>138</v>
      </c>
      <c r="P17" s="605">
        <v>120</v>
      </c>
      <c r="Q17" s="605">
        <v>138</v>
      </c>
      <c r="R17" s="604">
        <v>396</v>
      </c>
      <c r="S17" s="604">
        <v>786</v>
      </c>
      <c r="T17" s="604">
        <v>1506</v>
      </c>
    </row>
    <row r="18" spans="1:20">
      <c r="A18" s="605" t="s">
        <v>719</v>
      </c>
      <c r="B18" s="605">
        <v>105</v>
      </c>
      <c r="C18" s="605">
        <v>100</v>
      </c>
      <c r="D18" s="605">
        <v>100</v>
      </c>
      <c r="E18" s="604">
        <v>305</v>
      </c>
      <c r="F18" s="605">
        <v>105</v>
      </c>
      <c r="G18" s="605">
        <v>95</v>
      </c>
      <c r="H18" s="605">
        <v>95</v>
      </c>
      <c r="I18" s="604">
        <v>295</v>
      </c>
      <c r="J18" s="604">
        <v>600</v>
      </c>
      <c r="K18" s="605">
        <v>115</v>
      </c>
      <c r="L18" s="605">
        <v>100</v>
      </c>
      <c r="M18" s="605">
        <v>110</v>
      </c>
      <c r="N18" s="604">
        <v>325</v>
      </c>
      <c r="O18" s="605">
        <v>115</v>
      </c>
      <c r="P18" s="605">
        <v>100</v>
      </c>
      <c r="Q18" s="605">
        <v>115</v>
      </c>
      <c r="R18" s="604">
        <v>330</v>
      </c>
      <c r="S18" s="604">
        <v>655</v>
      </c>
      <c r="T18" s="604">
        <v>1255</v>
      </c>
    </row>
    <row r="19" spans="1:20">
      <c r="A19" s="605" t="s">
        <v>718</v>
      </c>
      <c r="B19" s="605">
        <v>100.8</v>
      </c>
      <c r="C19" s="605">
        <v>96</v>
      </c>
      <c r="D19" s="605">
        <v>96</v>
      </c>
      <c r="E19" s="604">
        <v>292.8</v>
      </c>
      <c r="F19" s="605">
        <v>100.8</v>
      </c>
      <c r="G19" s="605">
        <v>91.2</v>
      </c>
      <c r="H19" s="605">
        <v>91.2</v>
      </c>
      <c r="I19" s="604">
        <v>283.2</v>
      </c>
      <c r="J19" s="604">
        <v>576</v>
      </c>
      <c r="K19" s="605">
        <v>110.4</v>
      </c>
      <c r="L19" s="605">
        <v>96</v>
      </c>
      <c r="M19" s="605">
        <v>105.6</v>
      </c>
      <c r="N19" s="604">
        <v>312</v>
      </c>
      <c r="O19" s="605">
        <v>110.4</v>
      </c>
      <c r="P19" s="605">
        <v>96</v>
      </c>
      <c r="Q19" s="605">
        <v>110.4</v>
      </c>
      <c r="R19" s="604">
        <v>316.8</v>
      </c>
      <c r="S19" s="604">
        <v>628.79999999999995</v>
      </c>
      <c r="T19" s="604">
        <v>1204.8</v>
      </c>
    </row>
    <row r="20" spans="1:20">
      <c r="A20" s="605" t="s">
        <v>717</v>
      </c>
      <c r="B20" s="605">
        <v>84</v>
      </c>
      <c r="C20" s="605">
        <v>80</v>
      </c>
      <c r="D20" s="605">
        <v>80</v>
      </c>
      <c r="E20" s="604">
        <v>244</v>
      </c>
      <c r="F20" s="605">
        <v>84</v>
      </c>
      <c r="G20" s="605">
        <v>76</v>
      </c>
      <c r="H20" s="605">
        <v>76</v>
      </c>
      <c r="I20" s="604">
        <v>236</v>
      </c>
      <c r="J20" s="604">
        <v>480</v>
      </c>
      <c r="K20" s="605">
        <v>92</v>
      </c>
      <c r="L20" s="605">
        <v>80</v>
      </c>
      <c r="M20" s="605">
        <v>88</v>
      </c>
      <c r="N20" s="604">
        <v>260</v>
      </c>
      <c r="O20" s="605">
        <v>92</v>
      </c>
      <c r="P20" s="605">
        <v>80</v>
      </c>
      <c r="Q20" s="605">
        <v>92</v>
      </c>
      <c r="R20" s="604">
        <v>264</v>
      </c>
      <c r="S20" s="604">
        <v>524</v>
      </c>
      <c r="T20" s="604">
        <v>1004</v>
      </c>
    </row>
    <row r="21" spans="1:20">
      <c r="A21" s="605" t="s">
        <v>716</v>
      </c>
      <c r="B21" s="605">
        <v>75.599999999999994</v>
      </c>
      <c r="C21" s="605">
        <v>72</v>
      </c>
      <c r="D21" s="605">
        <v>72</v>
      </c>
      <c r="E21" s="604">
        <v>219.6</v>
      </c>
      <c r="F21" s="605">
        <v>75.599999999999994</v>
      </c>
      <c r="G21" s="605">
        <v>68.400000000000006</v>
      </c>
      <c r="H21" s="605">
        <v>68.400000000000006</v>
      </c>
      <c r="I21" s="604">
        <v>212.4</v>
      </c>
      <c r="J21" s="604">
        <v>432</v>
      </c>
      <c r="K21" s="605">
        <v>82.8</v>
      </c>
      <c r="L21" s="605">
        <v>72</v>
      </c>
      <c r="M21" s="605">
        <v>79.2</v>
      </c>
      <c r="N21" s="604">
        <v>234</v>
      </c>
      <c r="O21" s="605">
        <v>82.8</v>
      </c>
      <c r="P21" s="605">
        <v>72</v>
      </c>
      <c r="Q21" s="605">
        <v>82.8</v>
      </c>
      <c r="R21" s="604">
        <v>237.6</v>
      </c>
      <c r="S21" s="604">
        <v>471.6</v>
      </c>
      <c r="T21" s="604">
        <v>903</v>
      </c>
    </row>
    <row r="26" spans="1:20">
      <c r="A26" s="759" t="s">
        <v>0</v>
      </c>
      <c r="B26" s="759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O26" s="759"/>
      <c r="P26" s="759"/>
      <c r="Q26" s="759"/>
      <c r="R26" s="759"/>
    </row>
    <row r="27" spans="1:20">
      <c r="A27" s="759"/>
      <c r="B27" s="759"/>
      <c r="C27" s="759"/>
      <c r="D27" s="759"/>
      <c r="E27" s="759"/>
      <c r="F27" s="759"/>
      <c r="G27" s="759"/>
      <c r="H27" s="759"/>
      <c r="I27" s="759"/>
      <c r="J27" s="759"/>
      <c r="K27" s="759"/>
      <c r="L27" s="759"/>
      <c r="M27" s="759"/>
      <c r="N27" s="759"/>
      <c r="O27" s="759"/>
      <c r="P27" s="759"/>
      <c r="Q27" s="759"/>
      <c r="R27" s="759"/>
    </row>
    <row r="28" spans="1:20">
      <c r="A28" s="759">
        <v>1100</v>
      </c>
      <c r="B28" s="759" t="s">
        <v>997</v>
      </c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</row>
    <row r="29" spans="1:20">
      <c r="A29" s="759">
        <v>5000</v>
      </c>
      <c r="B29" s="759" t="s">
        <v>996</v>
      </c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59"/>
    </row>
    <row r="30" spans="1:20">
      <c r="A30" s="759" t="s">
        <v>31</v>
      </c>
      <c r="B30" s="759"/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</row>
    <row r="31" spans="1:20">
      <c r="A31" s="759" t="s">
        <v>2</v>
      </c>
      <c r="B31" s="759" t="s">
        <v>3</v>
      </c>
      <c r="C31" s="759" t="s">
        <v>4</v>
      </c>
      <c r="D31" s="759" t="s">
        <v>32</v>
      </c>
      <c r="E31" s="759" t="s">
        <v>33</v>
      </c>
      <c r="F31" s="759" t="s">
        <v>34</v>
      </c>
      <c r="G31" s="759" t="s">
        <v>35</v>
      </c>
      <c r="H31" s="759" t="s">
        <v>36</v>
      </c>
      <c r="I31" s="759"/>
      <c r="J31" s="759"/>
      <c r="K31" s="759"/>
      <c r="L31" s="759"/>
      <c r="M31" s="759"/>
      <c r="N31" s="759"/>
      <c r="O31" s="759"/>
      <c r="P31" s="759"/>
      <c r="Q31" s="759"/>
      <c r="R31" s="759"/>
    </row>
    <row r="32" spans="1:20">
      <c r="A32" s="759">
        <v>1</v>
      </c>
      <c r="B32" s="759">
        <v>2</v>
      </c>
      <c r="C32" s="759">
        <v>3</v>
      </c>
      <c r="D32" s="759">
        <v>4</v>
      </c>
      <c r="E32" s="759">
        <v>5</v>
      </c>
      <c r="F32" s="759">
        <v>6</v>
      </c>
      <c r="G32" s="759">
        <v>7</v>
      </c>
      <c r="H32" s="759">
        <v>8</v>
      </c>
      <c r="I32" s="759"/>
      <c r="J32" s="759"/>
      <c r="K32" s="759"/>
      <c r="L32" s="759"/>
      <c r="M32" s="759"/>
      <c r="N32" s="759"/>
      <c r="O32" s="759"/>
      <c r="P32" s="759"/>
      <c r="Q32" s="759"/>
      <c r="R32" s="759"/>
    </row>
    <row r="33" spans="1:18">
      <c r="A33" s="759">
        <v>1</v>
      </c>
      <c r="B33" s="759" t="s">
        <v>995</v>
      </c>
      <c r="C33" s="759" t="s">
        <v>971</v>
      </c>
      <c r="D33" s="759">
        <v>16</v>
      </c>
      <c r="E33" s="759" t="s">
        <v>994</v>
      </c>
      <c r="F33" s="759">
        <v>32</v>
      </c>
      <c r="G33" s="759" t="s">
        <v>993</v>
      </c>
      <c r="H33" s="759" t="s">
        <v>980</v>
      </c>
      <c r="I33" s="759"/>
      <c r="J33" s="759"/>
      <c r="K33" s="759"/>
      <c r="L33" s="759"/>
      <c r="M33" s="759"/>
      <c r="N33" s="759"/>
      <c r="O33" s="759"/>
      <c r="P33" s="759"/>
      <c r="Q33" s="759"/>
      <c r="R33" s="759"/>
    </row>
    <row r="34" spans="1:18">
      <c r="A34" s="759"/>
      <c r="B34" s="759"/>
      <c r="C34" s="759"/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59"/>
      <c r="O34" s="759"/>
      <c r="P34" s="759"/>
      <c r="Q34" s="759"/>
      <c r="R34" s="759"/>
    </row>
    <row r="35" spans="1:18">
      <c r="A35" s="759" t="s">
        <v>992</v>
      </c>
      <c r="B35" s="759"/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  <c r="O35" s="759"/>
      <c r="P35" s="759"/>
      <c r="Q35" s="759"/>
      <c r="R35" s="759"/>
    </row>
    <row r="36" spans="1:18">
      <c r="A36" s="759" t="s">
        <v>2</v>
      </c>
      <c r="B36" s="759" t="s">
        <v>5</v>
      </c>
      <c r="C36" s="759" t="s">
        <v>991</v>
      </c>
      <c r="D36" s="759" t="s">
        <v>6</v>
      </c>
      <c r="E36" s="759"/>
      <c r="F36" s="759"/>
      <c r="G36" s="759"/>
      <c r="H36" s="759"/>
      <c r="I36" s="759"/>
      <c r="J36" s="759"/>
      <c r="K36" s="759"/>
      <c r="L36" s="759"/>
      <c r="M36" s="759"/>
      <c r="N36" s="759"/>
      <c r="O36" s="759"/>
      <c r="P36" s="759"/>
      <c r="Q36" s="759"/>
      <c r="R36" s="759"/>
    </row>
    <row r="37" spans="1:18">
      <c r="A37" s="759" t="s">
        <v>7</v>
      </c>
      <c r="B37" s="759" t="s">
        <v>8</v>
      </c>
      <c r="C37" s="759"/>
      <c r="D37" s="759" t="s">
        <v>990</v>
      </c>
      <c r="E37" s="761" t="s">
        <v>998</v>
      </c>
      <c r="F37" s="759" t="s">
        <v>989</v>
      </c>
      <c r="G37" s="759" t="s">
        <v>988</v>
      </c>
      <c r="H37" s="759" t="s">
        <v>987</v>
      </c>
      <c r="I37" s="759" t="s">
        <v>986</v>
      </c>
      <c r="J37" s="759" t="s">
        <v>985</v>
      </c>
      <c r="K37" s="759" t="s">
        <v>9</v>
      </c>
      <c r="L37" s="759" t="s">
        <v>10</v>
      </c>
      <c r="M37" s="759" t="s">
        <v>11</v>
      </c>
      <c r="N37" s="759" t="s">
        <v>12</v>
      </c>
      <c r="O37" s="759"/>
      <c r="P37" s="759" t="s">
        <v>984</v>
      </c>
      <c r="Q37" s="759" t="s">
        <v>13</v>
      </c>
      <c r="R37" s="759" t="s">
        <v>14</v>
      </c>
    </row>
    <row r="38" spans="1:18">
      <c r="A38" s="759">
        <v>1</v>
      </c>
      <c r="B38" s="759">
        <v>2</v>
      </c>
      <c r="C38" s="759">
        <v>3</v>
      </c>
      <c r="D38" s="759">
        <v>4</v>
      </c>
      <c r="E38" s="759">
        <v>5</v>
      </c>
      <c r="F38" s="759">
        <v>6</v>
      </c>
      <c r="G38" s="759">
        <v>7</v>
      </c>
      <c r="H38" s="759">
        <v>8</v>
      </c>
      <c r="I38" s="759">
        <v>9</v>
      </c>
      <c r="J38" s="759">
        <v>10</v>
      </c>
      <c r="K38" s="759">
        <v>11</v>
      </c>
      <c r="L38" s="759">
        <v>12</v>
      </c>
      <c r="M38" s="759">
        <v>13</v>
      </c>
      <c r="N38" s="759">
        <v>14</v>
      </c>
      <c r="O38" s="759">
        <v>15</v>
      </c>
      <c r="P38" s="759">
        <v>16</v>
      </c>
      <c r="Q38" s="759">
        <v>17</v>
      </c>
      <c r="R38" s="759">
        <v>18</v>
      </c>
    </row>
    <row r="39" spans="1:18">
      <c r="A39" s="759">
        <v>1</v>
      </c>
      <c r="B39" s="759" t="s">
        <v>37</v>
      </c>
      <c r="C39" s="759" t="s">
        <v>29</v>
      </c>
      <c r="D39" s="760">
        <v>1.35</v>
      </c>
      <c r="E39" s="760">
        <v>1.2</v>
      </c>
      <c r="F39" s="759" t="s">
        <v>983</v>
      </c>
      <c r="G39" s="759" t="s">
        <v>982</v>
      </c>
      <c r="H39" s="759" t="s">
        <v>981</v>
      </c>
      <c r="I39" s="759" t="s">
        <v>25</v>
      </c>
      <c r="J39" s="759" t="s">
        <v>25</v>
      </c>
      <c r="K39" s="759" t="s">
        <v>980</v>
      </c>
      <c r="L39" s="759" t="s">
        <v>979</v>
      </c>
      <c r="M39" s="759" t="s">
        <v>978</v>
      </c>
      <c r="N39" s="759" t="s">
        <v>977</v>
      </c>
      <c r="O39" s="759" t="s">
        <v>976</v>
      </c>
      <c r="P39" s="759" t="s">
        <v>16</v>
      </c>
      <c r="Q39" s="759" t="s">
        <v>16</v>
      </c>
      <c r="R39" s="759" t="s">
        <v>975</v>
      </c>
    </row>
    <row r="40" spans="1:18">
      <c r="A40" s="759" t="s">
        <v>975</v>
      </c>
      <c r="B40" s="759" t="s">
        <v>17</v>
      </c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</row>
    <row r="41" spans="1:18">
      <c r="A41" s="759" t="s">
        <v>974</v>
      </c>
      <c r="B41" s="759" t="s">
        <v>26</v>
      </c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</row>
    <row r="42" spans="1:18">
      <c r="A42" s="759" t="s">
        <v>973</v>
      </c>
      <c r="B42" s="759" t="s">
        <v>18</v>
      </c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  <c r="O42" s="759"/>
      <c r="P42" s="759"/>
      <c r="Q42" s="759"/>
      <c r="R42" s="759"/>
    </row>
    <row r="43" spans="1:18">
      <c r="A43" s="759" t="s">
        <v>972</v>
      </c>
      <c r="B43" s="759" t="s">
        <v>30</v>
      </c>
      <c r="C43" s="759"/>
      <c r="D43" s="759"/>
      <c r="E43" s="759"/>
      <c r="F43" s="759"/>
      <c r="G43" s="759"/>
      <c r="H43" s="759"/>
      <c r="I43" s="759"/>
      <c r="J43" s="759"/>
      <c r="K43" s="759"/>
      <c r="L43" s="759"/>
      <c r="M43" s="759"/>
      <c r="N43" s="759"/>
      <c r="O43" s="759"/>
      <c r="P43" s="759"/>
      <c r="Q43" s="759"/>
      <c r="R43" s="759"/>
    </row>
    <row r="44" spans="1:18">
      <c r="A44" s="759">
        <v>0</v>
      </c>
      <c r="B44" s="759" t="s">
        <v>19</v>
      </c>
      <c r="C44" s="759"/>
      <c r="D44" s="759"/>
      <c r="E44" s="759"/>
      <c r="F44" s="759"/>
      <c r="G44" s="759"/>
      <c r="H44" s="759"/>
      <c r="I44" s="759"/>
      <c r="J44" s="759"/>
      <c r="K44" s="759"/>
      <c r="L44" s="759"/>
      <c r="M44" s="759"/>
      <c r="N44" s="759"/>
      <c r="O44" s="759"/>
      <c r="P44" s="759"/>
      <c r="Q44" s="759"/>
      <c r="R44" s="759"/>
    </row>
    <row r="45" spans="1:18">
      <c r="A45" s="759" t="s">
        <v>971</v>
      </c>
      <c r="B45" s="759" t="s">
        <v>20</v>
      </c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  <c r="O45" s="759"/>
      <c r="P45" s="759"/>
      <c r="Q45" s="759"/>
      <c r="R45" s="759"/>
    </row>
    <row r="46" spans="1:18">
      <c r="A46" s="759" t="s">
        <v>970</v>
      </c>
      <c r="B46" s="759" t="s">
        <v>21</v>
      </c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topLeftCell="A51" workbookViewId="0">
      <selection activeCell="F19" sqref="F19"/>
    </sheetView>
  </sheetViews>
  <sheetFormatPr defaultColWidth="9.140625" defaultRowHeight="12.75" outlineLevelRow="1"/>
  <cols>
    <col min="1" max="1" width="9.140625" style="4" bestFit="1" customWidth="1"/>
    <col min="2" max="2" width="31.5703125" style="4" customWidth="1"/>
    <col min="3" max="3" width="4.7109375" style="81" customWidth="1"/>
    <col min="4" max="4" width="8.42578125" style="4" customWidth="1"/>
    <col min="5" max="5" width="10.140625" style="4" customWidth="1"/>
    <col min="6" max="6" width="11.7109375" style="4" customWidth="1"/>
    <col min="7" max="7" width="8.42578125" style="4" customWidth="1"/>
    <col min="8" max="8" width="7" style="4" customWidth="1"/>
    <col min="9" max="9" width="7.5703125" style="4" bestFit="1" customWidth="1"/>
    <col min="10" max="10" width="5" style="4" bestFit="1" customWidth="1"/>
    <col min="11" max="11" width="7.140625" style="4" bestFit="1" customWidth="1"/>
    <col min="12" max="12" width="8" style="4" customWidth="1"/>
    <col min="13" max="13" width="7.42578125" style="4" customWidth="1"/>
    <col min="14" max="14" width="13.7109375" style="4" customWidth="1"/>
    <col min="15" max="15" width="10.28515625" style="4" customWidth="1"/>
    <col min="16" max="17" width="11.5703125" style="4" customWidth="1"/>
    <col min="18" max="18" width="9.85546875" style="4" bestFit="1" customWidth="1"/>
    <col min="19" max="19" width="9.140625" style="4"/>
    <col min="20" max="20" width="10.85546875" style="4" bestFit="1" customWidth="1"/>
    <col min="21" max="16384" width="9.140625" style="4"/>
  </cols>
  <sheetData>
    <row r="1" spans="1:21" ht="13.5" hidden="1" outlineLevel="1" thickBot="1">
      <c r="C1" s="5">
        <f>IF(Q5="0-0",0,IF(Q5="0-1",0,IF(Q5="1-0",1,IF(Q5="1-1",1))))</f>
        <v>1</v>
      </c>
      <c r="D1" s="4" t="s">
        <v>107</v>
      </c>
      <c r="K1" s="4" t="s">
        <v>108</v>
      </c>
      <c r="L1" s="5">
        <f>IF(Q5="0-0",0,IF(Q5="0-1",1,IF(Q5="1-0",0,IF(Q5="1-1",1))))</f>
        <v>0</v>
      </c>
      <c r="M1" s="6">
        <v>0.1</v>
      </c>
      <c r="N1" s="7" t="e">
        <f>Q103-'[4]01.05.2010'!N74</f>
        <v>#REF!</v>
      </c>
      <c r="O1" s="8" t="e">
        <f>SUM(Q70:Q102)</f>
        <v>#REF!</v>
      </c>
    </row>
    <row r="2" spans="1:21" ht="13.5" hidden="1" outlineLevel="1" thickBot="1">
      <c r="C2" s="9">
        <v>1.2</v>
      </c>
      <c r="D2" s="4" t="s">
        <v>109</v>
      </c>
    </row>
    <row r="3" spans="1:21" ht="23.25" collapsed="1">
      <c r="A3" s="836" t="s">
        <v>110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</row>
    <row r="4" spans="1:21" ht="13.5" thickBot="1">
      <c r="B4" s="837"/>
      <c r="C4" s="837"/>
      <c r="D4" s="837"/>
      <c r="E4" s="837"/>
      <c r="F4" s="837"/>
    </row>
    <row r="5" spans="1:21" ht="24" outlineLevel="1" thickBot="1">
      <c r="A5" s="10"/>
      <c r="B5" s="11" t="s">
        <v>111</v>
      </c>
      <c r="C5" s="12"/>
      <c r="D5" s="13"/>
      <c r="E5" s="14"/>
      <c r="F5" s="100" t="e">
        <f>#REF!</f>
        <v>#REF!</v>
      </c>
      <c r="M5" s="838" t="s">
        <v>112</v>
      </c>
      <c r="N5" s="839"/>
      <c r="P5" s="15" t="s">
        <v>113</v>
      </c>
      <c r="Q5" s="16" t="s">
        <v>114</v>
      </c>
    </row>
    <row r="6" spans="1:21" ht="25.5" outlineLevel="1">
      <c r="A6" s="10"/>
      <c r="B6" s="11" t="s">
        <v>115</v>
      </c>
      <c r="C6" s="12"/>
      <c r="D6" s="13"/>
      <c r="E6" s="17"/>
      <c r="F6" s="18">
        <v>630</v>
      </c>
      <c r="M6" s="19" t="s">
        <v>116</v>
      </c>
      <c r="N6" s="19" t="s">
        <v>117</v>
      </c>
    </row>
    <row r="7" spans="1:21" ht="13.5" outlineLevel="1" thickBot="1">
      <c r="A7" s="10"/>
      <c r="B7" s="11" t="s">
        <v>118</v>
      </c>
      <c r="C7" s="12"/>
      <c r="D7" s="13"/>
      <c r="E7" s="17"/>
      <c r="F7" s="20" t="e">
        <f>F5/F6</f>
        <v>#REF!</v>
      </c>
      <c r="M7" s="21">
        <v>1</v>
      </c>
      <c r="N7" s="22">
        <v>1</v>
      </c>
    </row>
    <row r="8" spans="1:21" ht="24" outlineLevel="1" thickBot="1">
      <c r="A8" s="10"/>
      <c r="B8" s="23" t="s">
        <v>119</v>
      </c>
      <c r="C8" s="24"/>
      <c r="D8" s="25"/>
      <c r="E8" s="26" t="s">
        <v>109</v>
      </c>
      <c r="F8" s="101">
        <f>IF(C1=1,1.2,1)</f>
        <v>1.2</v>
      </c>
      <c r="M8" s="21">
        <v>2</v>
      </c>
      <c r="N8" s="22">
        <v>1.08</v>
      </c>
    </row>
    <row r="9" spans="1:21" outlineLevel="1">
      <c r="A9" s="10"/>
      <c r="B9" s="27" t="s">
        <v>120</v>
      </c>
      <c r="C9" s="28"/>
      <c r="D9" s="29"/>
      <c r="E9" s="17" t="s">
        <v>121</v>
      </c>
      <c r="F9" s="30" t="e">
        <f>F5*F8</f>
        <v>#REF!</v>
      </c>
      <c r="M9" s="21">
        <v>3</v>
      </c>
      <c r="N9" s="22">
        <v>1.2</v>
      </c>
    </row>
    <row r="10" spans="1:21" outlineLevel="1">
      <c r="A10" s="10"/>
      <c r="B10" s="27" t="s">
        <v>122</v>
      </c>
      <c r="C10" s="28"/>
      <c r="D10" s="29"/>
      <c r="E10" s="17"/>
      <c r="F10" s="31">
        <f>N7</f>
        <v>1</v>
      </c>
      <c r="M10" s="21">
        <v>4</v>
      </c>
      <c r="N10" s="22">
        <v>1.35</v>
      </c>
    </row>
    <row r="11" spans="1:21" outlineLevel="1">
      <c r="A11" s="10"/>
      <c r="B11" s="27" t="s">
        <v>123</v>
      </c>
      <c r="C11" s="28"/>
      <c r="D11" s="29"/>
      <c r="E11" s="17" t="s">
        <v>124</v>
      </c>
      <c r="F11" s="31" t="e">
        <f>F9*F10</f>
        <v>#REF!</v>
      </c>
      <c r="M11" s="21">
        <v>5</v>
      </c>
      <c r="N11" s="22">
        <v>1.54</v>
      </c>
    </row>
    <row r="12" spans="1:21" s="32" customFormat="1" outlineLevel="1">
      <c r="A12" s="10"/>
      <c r="B12" s="27" t="s">
        <v>125</v>
      </c>
      <c r="C12" s="28"/>
      <c r="D12" s="29"/>
      <c r="E12" s="17"/>
      <c r="F12" s="31" t="e">
        <f>IF(C1=1,F5*C2,F11)</f>
        <v>#REF!</v>
      </c>
      <c r="M12" s="21">
        <v>6</v>
      </c>
      <c r="N12" s="22">
        <v>1.8</v>
      </c>
      <c r="U12" s="33"/>
    </row>
    <row r="13" spans="1:21" outlineLevel="1">
      <c r="A13" s="10"/>
      <c r="B13" s="27" t="s">
        <v>126</v>
      </c>
      <c r="C13" s="28"/>
      <c r="D13" s="29"/>
      <c r="E13" s="17"/>
      <c r="F13" s="34">
        <v>2002</v>
      </c>
    </row>
    <row r="14" spans="1:21" outlineLevel="1">
      <c r="A14" s="10"/>
      <c r="B14" s="27" t="s">
        <v>127</v>
      </c>
      <c r="C14" s="28"/>
      <c r="D14" s="29"/>
      <c r="E14" s="17" t="s">
        <v>128</v>
      </c>
      <c r="F14" s="35">
        <f>ROUND(F13/12,0)</f>
        <v>167</v>
      </c>
      <c r="U14" s="8"/>
    </row>
    <row r="15" spans="1:21" outlineLevel="1">
      <c r="A15" s="10"/>
      <c r="B15" s="27" t="s">
        <v>129</v>
      </c>
      <c r="C15" s="28"/>
      <c r="D15" s="29"/>
      <c r="E15" s="17"/>
      <c r="F15" s="35">
        <f>F20</f>
        <v>22</v>
      </c>
      <c r="M15" s="36">
        <f t="shared" ref="M15:Q17" si="0">M103</f>
        <v>141.30000000000001</v>
      </c>
      <c r="N15" s="37" t="e">
        <f t="shared" si="0"/>
        <v>#REF!</v>
      </c>
      <c r="O15" s="37">
        <f t="shared" si="0"/>
        <v>0</v>
      </c>
      <c r="P15" s="37" t="e">
        <f t="shared" si="0"/>
        <v>#REF!</v>
      </c>
      <c r="Q15" s="37" t="e">
        <f t="shared" si="0"/>
        <v>#REF!</v>
      </c>
      <c r="U15" s="8"/>
    </row>
    <row r="16" spans="1:21" ht="13.5" outlineLevel="1" thickBot="1">
      <c r="A16" s="10"/>
      <c r="B16" s="27" t="s">
        <v>130</v>
      </c>
      <c r="C16" s="28"/>
      <c r="D16" s="29"/>
      <c r="E16" s="17"/>
      <c r="F16" s="38">
        <v>10</v>
      </c>
      <c r="L16" s="39" t="str">
        <f>L104</f>
        <v>на 630</v>
      </c>
      <c r="M16" s="39">
        <f t="shared" si="0"/>
        <v>158.80000000000001</v>
      </c>
      <c r="N16" s="37">
        <f t="shared" si="0"/>
        <v>163642.81499999997</v>
      </c>
      <c r="O16" s="37">
        <f t="shared" si="0"/>
        <v>0</v>
      </c>
      <c r="P16" s="37">
        <f t="shared" si="0"/>
        <v>5807.4030000000012</v>
      </c>
      <c r="Q16" s="37">
        <f t="shared" si="0"/>
        <v>169450.21800000002</v>
      </c>
      <c r="U16" s="8"/>
    </row>
    <row r="17" spans="1:21" ht="21.75" outlineLevel="1" thickBot="1">
      <c r="A17" s="10"/>
      <c r="B17" s="27" t="s">
        <v>131</v>
      </c>
      <c r="C17" s="28"/>
      <c r="D17" s="29"/>
      <c r="E17" s="14"/>
      <c r="F17" s="40">
        <f>IF(L1=0,0,IF(L1=1,M1))</f>
        <v>0</v>
      </c>
      <c r="L17" s="39" t="str">
        <f>L105</f>
        <v>на 907</v>
      </c>
      <c r="M17" s="39">
        <f t="shared" si="0"/>
        <v>-17.5</v>
      </c>
      <c r="N17" s="37" t="e">
        <f t="shared" si="0"/>
        <v>#REF!</v>
      </c>
      <c r="O17" s="37">
        <f t="shared" si="0"/>
        <v>0</v>
      </c>
      <c r="P17" s="37" t="e">
        <f t="shared" si="0"/>
        <v>#REF!</v>
      </c>
      <c r="Q17" s="37" t="e">
        <f t="shared" si="0"/>
        <v>#REF!</v>
      </c>
      <c r="R17" s="41" t="e">
        <f>Q17/Q16</f>
        <v>#REF!</v>
      </c>
      <c r="U17" s="8"/>
    </row>
    <row r="18" spans="1:21" ht="13.5" outlineLevel="1" thickBot="1">
      <c r="A18" s="10"/>
      <c r="B18" s="27" t="s">
        <v>132</v>
      </c>
      <c r="C18" s="28"/>
      <c r="D18" s="29"/>
      <c r="E18" s="17"/>
      <c r="F18" s="6">
        <v>0.35</v>
      </c>
      <c r="U18" s="8"/>
    </row>
    <row r="19" spans="1:21" ht="13.5" thickBot="1">
      <c r="A19" s="10"/>
      <c r="B19" s="27" t="s">
        <v>133</v>
      </c>
      <c r="C19" s="28"/>
      <c r="D19" s="29"/>
      <c r="E19" s="17"/>
      <c r="F19" s="6">
        <v>0.08</v>
      </c>
      <c r="U19" s="8"/>
    </row>
    <row r="20" spans="1:21" ht="27.75" customHeight="1" outlineLevel="1">
      <c r="A20" s="840" t="s">
        <v>134</v>
      </c>
      <c r="B20" s="841"/>
      <c r="C20" s="841"/>
      <c r="D20" s="842"/>
      <c r="E20" s="42"/>
      <c r="F20" s="43">
        <f>2*22/2</f>
        <v>22</v>
      </c>
    </row>
    <row r="21" spans="1:21" ht="31.5" customHeight="1">
      <c r="A21" s="843" t="s">
        <v>135</v>
      </c>
      <c r="B21" s="845" t="s">
        <v>136</v>
      </c>
      <c r="C21" s="846" t="s">
        <v>116</v>
      </c>
      <c r="D21" s="846" t="s">
        <v>137</v>
      </c>
      <c r="E21" s="846" t="s">
        <v>138</v>
      </c>
      <c r="F21" s="846" t="s">
        <v>139</v>
      </c>
      <c r="G21" s="851" t="s">
        <v>140</v>
      </c>
      <c r="H21" s="852" t="s">
        <v>141</v>
      </c>
      <c r="I21" s="853"/>
      <c r="J21" s="852" t="s">
        <v>142</v>
      </c>
      <c r="K21" s="853"/>
      <c r="L21" s="44" t="s">
        <v>143</v>
      </c>
      <c r="M21" s="847" t="s">
        <v>27</v>
      </c>
      <c r="N21" s="847" t="s">
        <v>144</v>
      </c>
      <c r="O21" s="847" t="s">
        <v>145</v>
      </c>
      <c r="P21" s="847" t="s">
        <v>146</v>
      </c>
      <c r="Q21" s="848" t="s">
        <v>147</v>
      </c>
      <c r="R21" s="849" t="s">
        <v>148</v>
      </c>
      <c r="S21" s="849" t="s">
        <v>149</v>
      </c>
    </row>
    <row r="22" spans="1:21" ht="40.5" customHeight="1">
      <c r="A22" s="844"/>
      <c r="B22" s="845"/>
      <c r="C22" s="846"/>
      <c r="D22" s="846"/>
      <c r="E22" s="846"/>
      <c r="F22" s="846"/>
      <c r="G22" s="851"/>
      <c r="H22" s="44" t="s">
        <v>150</v>
      </c>
      <c r="I22" s="44" t="s">
        <v>151</v>
      </c>
      <c r="J22" s="44" t="s">
        <v>152</v>
      </c>
      <c r="K22" s="44" t="s">
        <v>151</v>
      </c>
      <c r="L22" s="44" t="s">
        <v>151</v>
      </c>
      <c r="M22" s="847"/>
      <c r="N22" s="847"/>
      <c r="O22" s="847"/>
      <c r="P22" s="847"/>
      <c r="Q22" s="848"/>
      <c r="R22" s="850"/>
      <c r="S22" s="850"/>
    </row>
    <row r="23" spans="1:21">
      <c r="A23" s="45">
        <v>1</v>
      </c>
      <c r="B23" s="46" t="s">
        <v>153</v>
      </c>
      <c r="C23" s="47"/>
      <c r="D23" s="48">
        <v>1</v>
      </c>
      <c r="E23" s="49">
        <v>3.8</v>
      </c>
      <c r="F23" s="48" t="e">
        <f>ROUND(($F$11*E23)*D23,2)</f>
        <v>#REF!</v>
      </c>
      <c r="G23" s="50" t="e">
        <f t="shared" ref="G23:G64" si="1">ROUND(F23/$F$14,2)</f>
        <v>#REF!</v>
      </c>
      <c r="H23" s="51" t="s">
        <v>15</v>
      </c>
      <c r="I23" s="51" t="s">
        <v>15</v>
      </c>
      <c r="J23" s="51" t="s">
        <v>15</v>
      </c>
      <c r="K23" s="51" t="s">
        <v>15</v>
      </c>
      <c r="L23" s="51" t="s">
        <v>15</v>
      </c>
      <c r="M23" s="52">
        <v>1</v>
      </c>
      <c r="N23" s="53" t="e">
        <f t="shared" ref="N23:N51" si="2">(G23*$F$14)*M23</f>
        <v>#REF!</v>
      </c>
      <c r="O23" s="54">
        <f t="shared" ref="O23:O100" si="3">$F$17</f>
        <v>0</v>
      </c>
      <c r="P23" s="50" t="e">
        <f t="shared" ref="P23:P68" si="4">ROUND(N23*O23,2)</f>
        <v>#REF!</v>
      </c>
      <c r="Q23" s="55" t="e">
        <f t="shared" ref="Q23:Q68" si="5">P23+N23</f>
        <v>#REF!</v>
      </c>
      <c r="R23" s="10" t="e">
        <f t="shared" ref="R23:R68" si="6">F23*O23</f>
        <v>#REF!</v>
      </c>
      <c r="S23" s="56" t="e">
        <f t="shared" ref="S23:S68" si="7">F23+R23</f>
        <v>#REF!</v>
      </c>
    </row>
    <row r="24" spans="1:21">
      <c r="A24" s="45">
        <v>2</v>
      </c>
      <c r="B24" s="46" t="s">
        <v>154</v>
      </c>
      <c r="C24" s="47"/>
      <c r="D24" s="48">
        <v>1</v>
      </c>
      <c r="E24" s="57">
        <f>[4]Г_У!L14</f>
        <v>3.4</v>
      </c>
      <c r="F24" s="48" t="e">
        <f>ROUND(($F$11*E24)*D24,2)</f>
        <v>#REF!</v>
      </c>
      <c r="G24" s="50" t="e">
        <f t="shared" si="1"/>
        <v>#REF!</v>
      </c>
      <c r="H24" s="51" t="s">
        <v>15</v>
      </c>
      <c r="I24" s="51" t="s">
        <v>15</v>
      </c>
      <c r="J24" s="51" t="s">
        <v>15</v>
      </c>
      <c r="K24" s="51" t="s">
        <v>15</v>
      </c>
      <c r="L24" s="51" t="s">
        <v>15</v>
      </c>
      <c r="M24" s="52">
        <v>1</v>
      </c>
      <c r="N24" s="53" t="e">
        <f t="shared" si="2"/>
        <v>#REF!</v>
      </c>
      <c r="O24" s="54">
        <f t="shared" si="3"/>
        <v>0</v>
      </c>
      <c r="P24" s="50" t="e">
        <f t="shared" si="4"/>
        <v>#REF!</v>
      </c>
      <c r="Q24" s="55" t="e">
        <f t="shared" si="5"/>
        <v>#REF!</v>
      </c>
      <c r="R24" s="10" t="e">
        <f t="shared" si="6"/>
        <v>#REF!</v>
      </c>
      <c r="S24" s="56" t="e">
        <f t="shared" si="7"/>
        <v>#REF!</v>
      </c>
      <c r="U24" s="4">
        <v>907</v>
      </c>
    </row>
    <row r="25" spans="1:21">
      <c r="A25" s="45">
        <v>3</v>
      </c>
      <c r="B25" s="46" t="s">
        <v>155</v>
      </c>
      <c r="C25" s="47"/>
      <c r="D25" s="48">
        <v>1</v>
      </c>
      <c r="E25" s="58">
        <f>[4]Г_У!L14</f>
        <v>3.4</v>
      </c>
      <c r="F25" s="48" t="e">
        <f>ROUND(($F$11*E25)*D25,2)</f>
        <v>#REF!</v>
      </c>
      <c r="G25" s="50" t="e">
        <f t="shared" si="1"/>
        <v>#REF!</v>
      </c>
      <c r="H25" s="51" t="s">
        <v>15</v>
      </c>
      <c r="I25" s="51" t="s">
        <v>15</v>
      </c>
      <c r="J25" s="51" t="s">
        <v>15</v>
      </c>
      <c r="K25" s="51" t="s">
        <v>15</v>
      </c>
      <c r="L25" s="51" t="s">
        <v>15</v>
      </c>
      <c r="M25" s="52">
        <v>1</v>
      </c>
      <c r="N25" s="53" t="e">
        <f t="shared" si="2"/>
        <v>#REF!</v>
      </c>
      <c r="O25" s="54">
        <f t="shared" si="3"/>
        <v>0</v>
      </c>
      <c r="P25" s="50" t="e">
        <f t="shared" si="4"/>
        <v>#REF!</v>
      </c>
      <c r="Q25" s="55" t="e">
        <f t="shared" si="5"/>
        <v>#REF!</v>
      </c>
      <c r="R25" s="10" t="e">
        <f t="shared" si="6"/>
        <v>#REF!</v>
      </c>
      <c r="S25" s="56" t="e">
        <f t="shared" si="7"/>
        <v>#REF!</v>
      </c>
      <c r="U25" s="4">
        <v>630</v>
      </c>
    </row>
    <row r="26" spans="1:21">
      <c r="A26" s="45">
        <v>4</v>
      </c>
      <c r="B26" s="46" t="s">
        <v>156</v>
      </c>
      <c r="C26" s="47"/>
      <c r="D26" s="48">
        <v>1</v>
      </c>
      <c r="E26" s="58">
        <f>[4]Г_У!L16</f>
        <v>2.8</v>
      </c>
      <c r="F26" s="48" t="e">
        <f>ROUND(($F$11*E26)*D26,2)</f>
        <v>#REF!</v>
      </c>
      <c r="G26" s="50" t="e">
        <f t="shared" si="1"/>
        <v>#REF!</v>
      </c>
      <c r="H26" s="51" t="s">
        <v>15</v>
      </c>
      <c r="I26" s="51" t="s">
        <v>15</v>
      </c>
      <c r="J26" s="51" t="s">
        <v>15</v>
      </c>
      <c r="K26" s="51" t="s">
        <v>15</v>
      </c>
      <c r="L26" s="51" t="s">
        <v>15</v>
      </c>
      <c r="M26" s="59">
        <v>1</v>
      </c>
      <c r="N26" s="53" t="e">
        <f t="shared" si="2"/>
        <v>#REF!</v>
      </c>
      <c r="O26" s="54">
        <f t="shared" si="3"/>
        <v>0</v>
      </c>
      <c r="P26" s="50" t="e">
        <f t="shared" si="4"/>
        <v>#REF!</v>
      </c>
      <c r="Q26" s="55" t="e">
        <f t="shared" si="5"/>
        <v>#REF!</v>
      </c>
      <c r="R26" s="10" t="e">
        <f t="shared" si="6"/>
        <v>#REF!</v>
      </c>
      <c r="S26" s="56" t="e">
        <f t="shared" si="7"/>
        <v>#REF!</v>
      </c>
      <c r="U26" s="4">
        <f>U24/U25</f>
        <v>1.4396825396825397</v>
      </c>
    </row>
    <row r="27" spans="1:21">
      <c r="A27" s="45">
        <v>5</v>
      </c>
      <c r="B27" s="46" t="s">
        <v>157</v>
      </c>
      <c r="C27" s="47"/>
      <c r="D27" s="48">
        <v>1</v>
      </c>
      <c r="E27" s="58">
        <f>[4]Г_У!L17</f>
        <v>2.35</v>
      </c>
      <c r="F27" s="48" t="e">
        <f>ROUND(($F$11*E27)*D27,2)</f>
        <v>#REF!</v>
      </c>
      <c r="G27" s="60" t="e">
        <f>ROUND(F27/$F$14,2)</f>
        <v>#REF!</v>
      </c>
      <c r="H27" s="51" t="s">
        <v>15</v>
      </c>
      <c r="I27" s="51" t="s">
        <v>15</v>
      </c>
      <c r="J27" s="51" t="s">
        <v>15</v>
      </c>
      <c r="K27" s="51" t="s">
        <v>15</v>
      </c>
      <c r="L27" s="51" t="s">
        <v>15</v>
      </c>
      <c r="M27" s="52">
        <v>1</v>
      </c>
      <c r="N27" s="53" t="e">
        <f>(G27*$F$14)*M27</f>
        <v>#REF!</v>
      </c>
      <c r="O27" s="54">
        <f t="shared" si="3"/>
        <v>0</v>
      </c>
      <c r="P27" s="50" t="e">
        <f>ROUND(N27*O27,2)</f>
        <v>#REF!</v>
      </c>
      <c r="Q27" s="55" t="e">
        <f>P27+N27</f>
        <v>#REF!</v>
      </c>
      <c r="R27" s="10" t="e">
        <f>F27*O27</f>
        <v>#REF!</v>
      </c>
      <c r="S27" s="56" t="e">
        <f>F27+R27</f>
        <v>#REF!</v>
      </c>
      <c r="U27" s="4">
        <v>2312</v>
      </c>
    </row>
    <row r="28" spans="1:21" ht="25.5">
      <c r="A28" s="45">
        <v>6</v>
      </c>
      <c r="B28" s="46" t="s">
        <v>158</v>
      </c>
      <c r="C28" s="47"/>
      <c r="D28" s="48">
        <v>1</v>
      </c>
      <c r="E28" s="58">
        <v>2.2000000000000002</v>
      </c>
      <c r="F28" s="48" t="e">
        <f>($F$11*E28)*D28</f>
        <v>#REF!</v>
      </c>
      <c r="G28" s="50" t="e">
        <f t="shared" si="1"/>
        <v>#REF!</v>
      </c>
      <c r="H28" s="51" t="s">
        <v>15</v>
      </c>
      <c r="I28" s="51" t="s">
        <v>15</v>
      </c>
      <c r="J28" s="51" t="s">
        <v>15</v>
      </c>
      <c r="K28" s="51" t="s">
        <v>15</v>
      </c>
      <c r="L28" s="51" t="s">
        <v>15</v>
      </c>
      <c r="M28" s="52">
        <v>1</v>
      </c>
      <c r="N28" s="53" t="e">
        <f t="shared" si="2"/>
        <v>#REF!</v>
      </c>
      <c r="O28" s="54">
        <f t="shared" si="3"/>
        <v>0</v>
      </c>
      <c r="P28" s="50" t="e">
        <f t="shared" si="4"/>
        <v>#REF!</v>
      </c>
      <c r="Q28" s="55" t="e">
        <f t="shared" si="5"/>
        <v>#REF!</v>
      </c>
      <c r="R28" s="10" t="e">
        <f t="shared" si="6"/>
        <v>#REF!</v>
      </c>
      <c r="S28" s="56" t="e">
        <f t="shared" si="7"/>
        <v>#REF!</v>
      </c>
      <c r="U28" s="4">
        <f>U27*U26</f>
        <v>3328.5460317460315</v>
      </c>
    </row>
    <row r="29" spans="1:21">
      <c r="A29" s="45">
        <v>7</v>
      </c>
      <c r="B29" s="46" t="s">
        <v>159</v>
      </c>
      <c r="C29" s="47"/>
      <c r="D29" s="48">
        <v>1</v>
      </c>
      <c r="E29" s="58">
        <v>2.2000000000000002</v>
      </c>
      <c r="F29" s="48" t="e">
        <f t="shared" ref="F29:F35" si="8">ROUND(($F$11*E29)*D29,2)</f>
        <v>#REF!</v>
      </c>
      <c r="G29" s="50" t="e">
        <f t="shared" si="1"/>
        <v>#REF!</v>
      </c>
      <c r="H29" s="51" t="s">
        <v>15</v>
      </c>
      <c r="I29" s="51" t="s">
        <v>15</v>
      </c>
      <c r="J29" s="51" t="s">
        <v>15</v>
      </c>
      <c r="K29" s="51" t="s">
        <v>15</v>
      </c>
      <c r="L29" s="51" t="s">
        <v>15</v>
      </c>
      <c r="M29" s="52">
        <v>1</v>
      </c>
      <c r="N29" s="53" t="e">
        <f t="shared" si="2"/>
        <v>#REF!</v>
      </c>
      <c r="O29" s="54">
        <f t="shared" si="3"/>
        <v>0</v>
      </c>
      <c r="P29" s="50" t="e">
        <f t="shared" si="4"/>
        <v>#REF!</v>
      </c>
      <c r="Q29" s="55" t="e">
        <f t="shared" si="5"/>
        <v>#REF!</v>
      </c>
      <c r="R29" s="10" t="e">
        <f t="shared" si="6"/>
        <v>#REF!</v>
      </c>
      <c r="S29" s="56" t="e">
        <f t="shared" si="7"/>
        <v>#REF!</v>
      </c>
      <c r="U29" s="4">
        <v>1.2</v>
      </c>
    </row>
    <row r="30" spans="1:21">
      <c r="A30" s="45">
        <v>8</v>
      </c>
      <c r="B30" s="46" t="s">
        <v>160</v>
      </c>
      <c r="C30" s="47"/>
      <c r="D30" s="48">
        <v>1</v>
      </c>
      <c r="E30" s="58">
        <v>1.97</v>
      </c>
      <c r="F30" s="48" t="e">
        <f t="shared" si="8"/>
        <v>#REF!</v>
      </c>
      <c r="G30" s="50" t="e">
        <f t="shared" si="1"/>
        <v>#REF!</v>
      </c>
      <c r="H30" s="51" t="s">
        <v>15</v>
      </c>
      <c r="I30" s="51" t="s">
        <v>15</v>
      </c>
      <c r="J30" s="51" t="s">
        <v>15</v>
      </c>
      <c r="K30" s="51" t="s">
        <v>15</v>
      </c>
      <c r="L30" s="51" t="s">
        <v>15</v>
      </c>
      <c r="M30" s="52">
        <v>1</v>
      </c>
      <c r="N30" s="53" t="e">
        <f t="shared" si="2"/>
        <v>#REF!</v>
      </c>
      <c r="O30" s="54">
        <f t="shared" si="3"/>
        <v>0</v>
      </c>
      <c r="P30" s="50" t="e">
        <f t="shared" si="4"/>
        <v>#REF!</v>
      </c>
      <c r="Q30" s="55" t="e">
        <f t="shared" si="5"/>
        <v>#REF!</v>
      </c>
      <c r="R30" s="10" t="e">
        <f t="shared" si="6"/>
        <v>#REF!</v>
      </c>
      <c r="S30" s="56" t="e">
        <f t="shared" si="7"/>
        <v>#REF!</v>
      </c>
      <c r="U30" s="4">
        <f>U28*U29</f>
        <v>3994.2552380952375</v>
      </c>
    </row>
    <row r="31" spans="1:21">
      <c r="A31" s="45">
        <v>9</v>
      </c>
      <c r="B31" s="46" t="s">
        <v>161</v>
      </c>
      <c r="C31" s="47"/>
      <c r="D31" s="48">
        <v>1</v>
      </c>
      <c r="E31" s="58">
        <f>[4]Г_У!L18</f>
        <v>2.2999999999999998</v>
      </c>
      <c r="F31" s="48" t="e">
        <f t="shared" si="8"/>
        <v>#REF!</v>
      </c>
      <c r="G31" s="50" t="e">
        <f t="shared" si="1"/>
        <v>#REF!</v>
      </c>
      <c r="H31" s="51" t="s">
        <v>15</v>
      </c>
      <c r="I31" s="51" t="s">
        <v>15</v>
      </c>
      <c r="J31" s="51" t="s">
        <v>15</v>
      </c>
      <c r="K31" s="51" t="s">
        <v>15</v>
      </c>
      <c r="L31" s="51" t="s">
        <v>15</v>
      </c>
      <c r="M31" s="61">
        <v>5</v>
      </c>
      <c r="N31" s="53" t="e">
        <f t="shared" si="2"/>
        <v>#REF!</v>
      </c>
      <c r="O31" s="54">
        <f t="shared" si="3"/>
        <v>0</v>
      </c>
      <c r="P31" s="50" t="e">
        <f t="shared" si="4"/>
        <v>#REF!</v>
      </c>
      <c r="Q31" s="55" t="e">
        <f t="shared" si="5"/>
        <v>#REF!</v>
      </c>
      <c r="R31" s="10" t="e">
        <f t="shared" si="6"/>
        <v>#REF!</v>
      </c>
      <c r="S31" s="56" t="e">
        <f t="shared" si="7"/>
        <v>#REF!</v>
      </c>
    </row>
    <row r="32" spans="1:21" ht="25.5">
      <c r="A32" s="45">
        <v>10</v>
      </c>
      <c r="B32" s="46" t="s">
        <v>162</v>
      </c>
      <c r="C32" s="47"/>
      <c r="D32" s="48">
        <v>1</v>
      </c>
      <c r="E32" s="58">
        <f>[4]Г_У!L19</f>
        <v>1.8</v>
      </c>
      <c r="F32" s="48" t="e">
        <f t="shared" si="8"/>
        <v>#REF!</v>
      </c>
      <c r="G32" s="50" t="e">
        <f t="shared" si="1"/>
        <v>#REF!</v>
      </c>
      <c r="H32" s="51" t="s">
        <v>15</v>
      </c>
      <c r="I32" s="51" t="s">
        <v>15</v>
      </c>
      <c r="J32" s="51" t="s">
        <v>15</v>
      </c>
      <c r="K32" s="51" t="s">
        <v>15</v>
      </c>
      <c r="L32" s="51" t="s">
        <v>15</v>
      </c>
      <c r="M32" s="52">
        <v>1</v>
      </c>
      <c r="N32" s="53" t="e">
        <f t="shared" si="2"/>
        <v>#REF!</v>
      </c>
      <c r="O32" s="54">
        <f t="shared" si="3"/>
        <v>0</v>
      </c>
      <c r="P32" s="50" t="e">
        <f t="shared" si="4"/>
        <v>#REF!</v>
      </c>
      <c r="Q32" s="55" t="e">
        <f t="shared" si="5"/>
        <v>#REF!</v>
      </c>
      <c r="R32" s="10" t="e">
        <f t="shared" si="6"/>
        <v>#REF!</v>
      </c>
      <c r="S32" s="56" t="e">
        <f t="shared" si="7"/>
        <v>#REF!</v>
      </c>
    </row>
    <row r="33" spans="1:21" collapsed="1">
      <c r="A33" s="45">
        <v>11</v>
      </c>
      <c r="B33" s="46" t="s">
        <v>163</v>
      </c>
      <c r="C33" s="47"/>
      <c r="D33" s="62">
        <v>1</v>
      </c>
      <c r="E33" s="48">
        <v>1.8</v>
      </c>
      <c r="F33" s="48" t="e">
        <f t="shared" si="8"/>
        <v>#REF!</v>
      </c>
      <c r="G33" s="50" t="e">
        <f t="shared" si="1"/>
        <v>#REF!</v>
      </c>
      <c r="H33" s="51" t="s">
        <v>15</v>
      </c>
      <c r="I33" s="51" t="s">
        <v>15</v>
      </c>
      <c r="J33" s="51" t="s">
        <v>15</v>
      </c>
      <c r="K33" s="51" t="s">
        <v>15</v>
      </c>
      <c r="L33" s="51" t="s">
        <v>15</v>
      </c>
      <c r="M33" s="63">
        <v>0.5</v>
      </c>
      <c r="N33" s="53" t="e">
        <f t="shared" si="2"/>
        <v>#REF!</v>
      </c>
      <c r="O33" s="54">
        <f t="shared" si="3"/>
        <v>0</v>
      </c>
      <c r="P33" s="50" t="e">
        <f t="shared" si="4"/>
        <v>#REF!</v>
      </c>
      <c r="Q33" s="55" t="e">
        <f t="shared" si="5"/>
        <v>#REF!</v>
      </c>
      <c r="R33" s="10" t="e">
        <f t="shared" si="6"/>
        <v>#REF!</v>
      </c>
      <c r="S33" s="56" t="e">
        <f t="shared" si="7"/>
        <v>#REF!</v>
      </c>
    </row>
    <row r="34" spans="1:21" ht="15" customHeight="1">
      <c r="A34" s="45">
        <v>12</v>
      </c>
      <c r="B34" s="46" t="s">
        <v>164</v>
      </c>
      <c r="C34" s="47"/>
      <c r="D34" s="48">
        <v>1</v>
      </c>
      <c r="E34" s="58">
        <v>1.7</v>
      </c>
      <c r="F34" s="48" t="e">
        <f t="shared" si="8"/>
        <v>#REF!</v>
      </c>
      <c r="G34" s="50" t="e">
        <f t="shared" si="1"/>
        <v>#REF!</v>
      </c>
      <c r="H34" s="51" t="s">
        <v>15</v>
      </c>
      <c r="I34" s="51" t="s">
        <v>15</v>
      </c>
      <c r="J34" s="51" t="s">
        <v>15</v>
      </c>
      <c r="K34" s="51" t="s">
        <v>15</v>
      </c>
      <c r="L34" s="51" t="s">
        <v>15</v>
      </c>
      <c r="M34" s="64">
        <v>3</v>
      </c>
      <c r="N34" s="53" t="e">
        <f t="shared" si="2"/>
        <v>#REF!</v>
      </c>
      <c r="O34" s="54">
        <f t="shared" si="3"/>
        <v>0</v>
      </c>
      <c r="P34" s="50" t="e">
        <f t="shared" si="4"/>
        <v>#REF!</v>
      </c>
      <c r="Q34" s="55" t="e">
        <f t="shared" si="5"/>
        <v>#REF!</v>
      </c>
      <c r="R34" s="10" t="e">
        <f t="shared" si="6"/>
        <v>#REF!</v>
      </c>
      <c r="S34" s="56" t="e">
        <f t="shared" si="7"/>
        <v>#REF!</v>
      </c>
    </row>
    <row r="35" spans="1:21">
      <c r="A35" s="45">
        <v>13</v>
      </c>
      <c r="B35" s="46" t="s">
        <v>165</v>
      </c>
      <c r="C35" s="47"/>
      <c r="D35" s="48">
        <v>1</v>
      </c>
      <c r="E35" s="58">
        <v>1.7</v>
      </c>
      <c r="F35" s="48" t="e">
        <f t="shared" si="8"/>
        <v>#REF!</v>
      </c>
      <c r="G35" s="60" t="e">
        <f t="shared" si="1"/>
        <v>#REF!</v>
      </c>
      <c r="H35" s="51"/>
      <c r="I35" s="51"/>
      <c r="J35" s="51"/>
      <c r="K35" s="51"/>
      <c r="L35" s="51"/>
      <c r="M35" s="65">
        <v>3</v>
      </c>
      <c r="N35" s="53" t="e">
        <f t="shared" si="2"/>
        <v>#REF!</v>
      </c>
      <c r="O35" s="54">
        <f t="shared" si="3"/>
        <v>0</v>
      </c>
      <c r="P35" s="50" t="e">
        <f t="shared" si="4"/>
        <v>#REF!</v>
      </c>
      <c r="Q35" s="55" t="e">
        <f t="shared" si="5"/>
        <v>#REF!</v>
      </c>
      <c r="R35" s="10" t="e">
        <f t="shared" si="6"/>
        <v>#REF!</v>
      </c>
      <c r="S35" s="56" t="e">
        <f t="shared" si="7"/>
        <v>#REF!</v>
      </c>
    </row>
    <row r="36" spans="1:21">
      <c r="A36" s="45">
        <v>14</v>
      </c>
      <c r="B36" s="46" t="s">
        <v>166</v>
      </c>
      <c r="C36" s="47"/>
      <c r="D36" s="48">
        <v>1</v>
      </c>
      <c r="E36" s="58">
        <v>1.6</v>
      </c>
      <c r="F36" s="48" t="e">
        <f>ROUND(($F$5*E36)*D36,2)</f>
        <v>#REF!</v>
      </c>
      <c r="G36" s="50" t="e">
        <f t="shared" si="1"/>
        <v>#REF!</v>
      </c>
      <c r="H36" s="51" t="s">
        <v>15</v>
      </c>
      <c r="I36" s="51" t="s">
        <v>15</v>
      </c>
      <c r="J36" s="51" t="s">
        <v>15</v>
      </c>
      <c r="K36" s="51" t="s">
        <v>15</v>
      </c>
      <c r="L36" s="51" t="s">
        <v>15</v>
      </c>
      <c r="M36" s="66">
        <v>1</v>
      </c>
      <c r="N36" s="53" t="e">
        <f t="shared" si="2"/>
        <v>#REF!</v>
      </c>
      <c r="O36" s="54">
        <f t="shared" si="3"/>
        <v>0</v>
      </c>
      <c r="P36" s="50" t="e">
        <f t="shared" si="4"/>
        <v>#REF!</v>
      </c>
      <c r="Q36" s="55" t="e">
        <f t="shared" si="5"/>
        <v>#REF!</v>
      </c>
      <c r="R36" s="10" t="e">
        <f t="shared" si="6"/>
        <v>#REF!</v>
      </c>
      <c r="S36" s="56" t="e">
        <f t="shared" si="7"/>
        <v>#REF!</v>
      </c>
    </row>
    <row r="37" spans="1:21">
      <c r="A37" s="45">
        <v>15</v>
      </c>
      <c r="B37" s="46" t="s">
        <v>167</v>
      </c>
      <c r="C37" s="47"/>
      <c r="D37" s="48">
        <v>1</v>
      </c>
      <c r="E37" s="58">
        <v>1.55</v>
      </c>
      <c r="F37" s="48" t="e">
        <f>ROUND(($F$12*E37)*D37,2)</f>
        <v>#REF!</v>
      </c>
      <c r="G37" s="50" t="e">
        <f t="shared" si="1"/>
        <v>#REF!</v>
      </c>
      <c r="H37" s="51" t="s">
        <v>15</v>
      </c>
      <c r="I37" s="51" t="s">
        <v>15</v>
      </c>
      <c r="J37" s="51" t="s">
        <v>15</v>
      </c>
      <c r="K37" s="51" t="s">
        <v>15</v>
      </c>
      <c r="L37" s="51" t="s">
        <v>15</v>
      </c>
      <c r="M37" s="63">
        <v>0.3</v>
      </c>
      <c r="N37" s="50" t="e">
        <f t="shared" si="2"/>
        <v>#REF!</v>
      </c>
      <c r="O37" s="54">
        <f t="shared" si="3"/>
        <v>0</v>
      </c>
      <c r="P37" s="50" t="e">
        <f t="shared" si="4"/>
        <v>#REF!</v>
      </c>
      <c r="Q37" s="55" t="e">
        <f t="shared" si="5"/>
        <v>#REF!</v>
      </c>
      <c r="R37" s="10" t="e">
        <f t="shared" si="6"/>
        <v>#REF!</v>
      </c>
      <c r="S37" s="56" t="e">
        <f t="shared" si="7"/>
        <v>#REF!</v>
      </c>
    </row>
    <row r="38" spans="1:21">
      <c r="A38" s="45">
        <v>16</v>
      </c>
      <c r="B38" s="46" t="s">
        <v>168</v>
      </c>
      <c r="C38" s="21"/>
      <c r="D38" s="50">
        <v>1</v>
      </c>
      <c r="E38" s="67">
        <v>1.55</v>
      </c>
      <c r="F38" s="48" t="e">
        <f>ROUND(($F$5*E38)*D38,2)</f>
        <v>#REF!</v>
      </c>
      <c r="G38" s="50" t="e">
        <f t="shared" si="1"/>
        <v>#REF!</v>
      </c>
      <c r="H38" s="51" t="s">
        <v>15</v>
      </c>
      <c r="I38" s="51" t="s">
        <v>15</v>
      </c>
      <c r="J38" s="51" t="s">
        <v>15</v>
      </c>
      <c r="K38" s="51" t="s">
        <v>15</v>
      </c>
      <c r="L38" s="51" t="s">
        <v>15</v>
      </c>
      <c r="M38" s="66">
        <v>2</v>
      </c>
      <c r="N38" s="53" t="e">
        <f t="shared" si="2"/>
        <v>#REF!</v>
      </c>
      <c r="O38" s="54">
        <f t="shared" si="3"/>
        <v>0</v>
      </c>
      <c r="P38" s="50" t="e">
        <f t="shared" si="4"/>
        <v>#REF!</v>
      </c>
      <c r="Q38" s="55" t="e">
        <f t="shared" si="5"/>
        <v>#REF!</v>
      </c>
      <c r="R38" s="10" t="e">
        <f t="shared" si="6"/>
        <v>#REF!</v>
      </c>
      <c r="S38" s="56" t="e">
        <f t="shared" si="7"/>
        <v>#REF!</v>
      </c>
    </row>
    <row r="39" spans="1:21">
      <c r="A39" s="45">
        <v>17</v>
      </c>
      <c r="B39" s="46" t="s">
        <v>169</v>
      </c>
      <c r="C39" s="47"/>
      <c r="D39" s="48">
        <v>1</v>
      </c>
      <c r="E39" s="68">
        <v>1.38</v>
      </c>
      <c r="F39" s="48" t="e">
        <f>ROUND(($F$12*E39)*D39,2)</f>
        <v>#REF!</v>
      </c>
      <c r="G39" s="50" t="e">
        <f t="shared" si="1"/>
        <v>#REF!</v>
      </c>
      <c r="H39" s="51" t="s">
        <v>15</v>
      </c>
      <c r="I39" s="51" t="s">
        <v>15</v>
      </c>
      <c r="J39" s="51" t="s">
        <v>15</v>
      </c>
      <c r="K39" s="51" t="s">
        <v>15</v>
      </c>
      <c r="L39" s="51" t="s">
        <v>15</v>
      </c>
      <c r="M39" s="63">
        <v>1</v>
      </c>
      <c r="N39" s="53" t="e">
        <f t="shared" si="2"/>
        <v>#REF!</v>
      </c>
      <c r="O39" s="54">
        <f t="shared" si="3"/>
        <v>0</v>
      </c>
      <c r="P39" s="50" t="e">
        <f t="shared" si="4"/>
        <v>#REF!</v>
      </c>
      <c r="Q39" s="69" t="e">
        <f t="shared" si="5"/>
        <v>#REF!</v>
      </c>
      <c r="R39" s="10" t="e">
        <f t="shared" si="6"/>
        <v>#REF!</v>
      </c>
      <c r="S39" s="56" t="e">
        <f t="shared" si="7"/>
        <v>#REF!</v>
      </c>
    </row>
    <row r="40" spans="1:21">
      <c r="A40" s="45">
        <v>18</v>
      </c>
      <c r="B40" s="46" t="s">
        <v>170</v>
      </c>
      <c r="C40" s="47"/>
      <c r="D40" s="48">
        <v>1</v>
      </c>
      <c r="E40" s="58">
        <v>1.35</v>
      </c>
      <c r="F40" s="48" t="e">
        <f>ROUND(($F$12*E40)*D40,2)</f>
        <v>#REF!</v>
      </c>
      <c r="G40" s="50" t="e">
        <f t="shared" si="1"/>
        <v>#REF!</v>
      </c>
      <c r="H40" s="51" t="s">
        <v>15</v>
      </c>
      <c r="I40" s="51" t="s">
        <v>15</v>
      </c>
      <c r="J40" s="51" t="s">
        <v>15</v>
      </c>
      <c r="K40" s="51" t="s">
        <v>15</v>
      </c>
      <c r="L40" s="51" t="s">
        <v>15</v>
      </c>
      <c r="M40" s="63">
        <v>1</v>
      </c>
      <c r="N40" s="53" t="e">
        <f t="shared" si="2"/>
        <v>#REF!</v>
      </c>
      <c r="O40" s="54">
        <f t="shared" si="3"/>
        <v>0</v>
      </c>
      <c r="P40" s="50" t="e">
        <f t="shared" si="4"/>
        <v>#REF!</v>
      </c>
      <c r="Q40" s="55" t="e">
        <f t="shared" si="5"/>
        <v>#REF!</v>
      </c>
      <c r="R40" s="10" t="e">
        <f t="shared" si="6"/>
        <v>#REF!</v>
      </c>
      <c r="S40" s="56" t="e">
        <f t="shared" si="7"/>
        <v>#REF!</v>
      </c>
    </row>
    <row r="41" spans="1:21">
      <c r="A41" s="45">
        <v>19</v>
      </c>
      <c r="B41" s="46" t="s">
        <v>171</v>
      </c>
      <c r="C41" s="70">
        <v>1</v>
      </c>
      <c r="D41" s="62">
        <f t="shared" ref="D41:D67" si="9">VLOOKUP(C41,$M$7:$N$12,2,FALSE)</f>
        <v>1</v>
      </c>
      <c r="E41" s="48">
        <v>1.43</v>
      </c>
      <c r="F41" s="48" t="e">
        <f t="shared" ref="F41:F64" si="10">ROUND(($F$9*E41)*D41,2)</f>
        <v>#REF!</v>
      </c>
      <c r="G41" s="50" t="e">
        <f t="shared" si="1"/>
        <v>#REF!</v>
      </c>
      <c r="H41" s="51" t="s">
        <v>15</v>
      </c>
      <c r="I41" s="51" t="s">
        <v>15</v>
      </c>
      <c r="J41" s="51" t="s">
        <v>15</v>
      </c>
      <c r="K41" s="51" t="s">
        <v>15</v>
      </c>
      <c r="L41" s="51" t="s">
        <v>15</v>
      </c>
      <c r="M41" s="63">
        <v>1</v>
      </c>
      <c r="N41" s="53" t="e">
        <f t="shared" si="2"/>
        <v>#REF!</v>
      </c>
      <c r="O41" s="54">
        <f t="shared" si="3"/>
        <v>0</v>
      </c>
      <c r="P41" s="50" t="e">
        <f t="shared" si="4"/>
        <v>#REF!</v>
      </c>
      <c r="Q41" s="55" t="e">
        <f t="shared" si="5"/>
        <v>#REF!</v>
      </c>
      <c r="R41" s="10" t="e">
        <f t="shared" si="6"/>
        <v>#REF!</v>
      </c>
      <c r="S41" s="56" t="e">
        <f t="shared" si="7"/>
        <v>#REF!</v>
      </c>
    </row>
    <row r="42" spans="1:21">
      <c r="A42" s="45">
        <v>20</v>
      </c>
      <c r="B42" s="46" t="s">
        <v>172</v>
      </c>
      <c r="C42" s="70">
        <v>2</v>
      </c>
      <c r="D42" s="62">
        <f t="shared" si="9"/>
        <v>1.08</v>
      </c>
      <c r="E42" s="48">
        <v>1.43</v>
      </c>
      <c r="F42" s="48" t="e">
        <f t="shared" si="10"/>
        <v>#REF!</v>
      </c>
      <c r="G42" s="50" t="e">
        <f t="shared" si="1"/>
        <v>#REF!</v>
      </c>
      <c r="H42" s="51" t="s">
        <v>15</v>
      </c>
      <c r="I42" s="51" t="s">
        <v>15</v>
      </c>
      <c r="J42" s="51" t="s">
        <v>15</v>
      </c>
      <c r="K42" s="51" t="s">
        <v>15</v>
      </c>
      <c r="L42" s="51" t="s">
        <v>15</v>
      </c>
      <c r="M42" s="61">
        <v>2</v>
      </c>
      <c r="N42" s="53" t="e">
        <f t="shared" si="2"/>
        <v>#REF!</v>
      </c>
      <c r="O42" s="54">
        <f t="shared" si="3"/>
        <v>0</v>
      </c>
      <c r="P42" s="50" t="e">
        <f t="shared" si="4"/>
        <v>#REF!</v>
      </c>
      <c r="Q42" s="55" t="e">
        <f t="shared" si="5"/>
        <v>#REF!</v>
      </c>
      <c r="R42" s="10" t="e">
        <f t="shared" si="6"/>
        <v>#REF!</v>
      </c>
      <c r="S42" s="56" t="e">
        <f t="shared" si="7"/>
        <v>#REF!</v>
      </c>
    </row>
    <row r="43" spans="1:21">
      <c r="A43" s="45">
        <v>21</v>
      </c>
      <c r="B43" s="46" t="s">
        <v>173</v>
      </c>
      <c r="C43" s="70">
        <v>3</v>
      </c>
      <c r="D43" s="62">
        <f t="shared" si="9"/>
        <v>1.2</v>
      </c>
      <c r="E43" s="48">
        <v>1.43</v>
      </c>
      <c r="F43" s="48" t="e">
        <f t="shared" si="10"/>
        <v>#REF!</v>
      </c>
      <c r="G43" s="50" t="e">
        <f t="shared" si="1"/>
        <v>#REF!</v>
      </c>
      <c r="H43" s="51" t="s">
        <v>15</v>
      </c>
      <c r="I43" s="51" t="s">
        <v>15</v>
      </c>
      <c r="J43" s="51" t="s">
        <v>15</v>
      </c>
      <c r="K43" s="51" t="s">
        <v>15</v>
      </c>
      <c r="L43" s="51" t="s">
        <v>15</v>
      </c>
      <c r="M43" s="63">
        <v>1</v>
      </c>
      <c r="N43" s="53" t="e">
        <f t="shared" si="2"/>
        <v>#REF!</v>
      </c>
      <c r="O43" s="54">
        <f t="shared" si="3"/>
        <v>0</v>
      </c>
      <c r="P43" s="50" t="e">
        <f t="shared" si="4"/>
        <v>#REF!</v>
      </c>
      <c r="Q43" s="55" t="e">
        <f t="shared" si="5"/>
        <v>#REF!</v>
      </c>
      <c r="R43" s="10" t="e">
        <f t="shared" si="6"/>
        <v>#REF!</v>
      </c>
      <c r="S43" s="56" t="e">
        <f t="shared" si="7"/>
        <v>#REF!</v>
      </c>
    </row>
    <row r="44" spans="1:21">
      <c r="A44" s="45">
        <v>22</v>
      </c>
      <c r="B44" s="46" t="s">
        <v>174</v>
      </c>
      <c r="C44" s="70">
        <v>2</v>
      </c>
      <c r="D44" s="62">
        <v>1.2</v>
      </c>
      <c r="E44" s="48">
        <v>1.43</v>
      </c>
      <c r="F44" s="48" t="e">
        <f t="shared" si="10"/>
        <v>#REF!</v>
      </c>
      <c r="G44" s="50" t="e">
        <f t="shared" si="1"/>
        <v>#REF!</v>
      </c>
      <c r="H44" s="51" t="s">
        <v>15</v>
      </c>
      <c r="I44" s="51" t="s">
        <v>15</v>
      </c>
      <c r="J44" s="51" t="s">
        <v>15</v>
      </c>
      <c r="K44" s="51" t="s">
        <v>15</v>
      </c>
      <c r="L44" s="51" t="s">
        <v>15</v>
      </c>
      <c r="M44" s="63">
        <v>1</v>
      </c>
      <c r="N44" s="53" t="e">
        <f t="shared" si="2"/>
        <v>#REF!</v>
      </c>
      <c r="O44" s="54">
        <f t="shared" si="3"/>
        <v>0</v>
      </c>
      <c r="P44" s="50" t="e">
        <f t="shared" si="4"/>
        <v>#REF!</v>
      </c>
      <c r="Q44" s="55" t="e">
        <f t="shared" si="5"/>
        <v>#REF!</v>
      </c>
      <c r="R44" s="10" t="e">
        <f t="shared" si="6"/>
        <v>#REF!</v>
      </c>
      <c r="S44" s="56" t="e">
        <f t="shared" si="7"/>
        <v>#REF!</v>
      </c>
      <c r="U44" s="4">
        <f>10725/6300</f>
        <v>1.7023809523809523</v>
      </c>
    </row>
    <row r="45" spans="1:21">
      <c r="A45" s="45">
        <v>23</v>
      </c>
      <c r="B45" s="46" t="s">
        <v>175</v>
      </c>
      <c r="C45" s="70">
        <v>2</v>
      </c>
      <c r="D45" s="62">
        <f t="shared" si="9"/>
        <v>1.08</v>
      </c>
      <c r="E45" s="48">
        <v>1.43</v>
      </c>
      <c r="F45" s="48" t="e">
        <f t="shared" si="10"/>
        <v>#REF!</v>
      </c>
      <c r="G45" s="50" t="e">
        <f t="shared" si="1"/>
        <v>#REF!</v>
      </c>
      <c r="H45" s="51" t="s">
        <v>15</v>
      </c>
      <c r="I45" s="51" t="s">
        <v>15</v>
      </c>
      <c r="J45" s="51" t="s">
        <v>15</v>
      </c>
      <c r="K45" s="51" t="s">
        <v>15</v>
      </c>
      <c r="L45" s="51" t="s">
        <v>15</v>
      </c>
      <c r="M45" s="61">
        <v>2</v>
      </c>
      <c r="N45" s="53" t="e">
        <f t="shared" si="2"/>
        <v>#REF!</v>
      </c>
      <c r="O45" s="54">
        <f t="shared" si="3"/>
        <v>0</v>
      </c>
      <c r="P45" s="50" t="e">
        <f t="shared" si="4"/>
        <v>#REF!</v>
      </c>
      <c r="Q45" s="55" t="e">
        <f t="shared" si="5"/>
        <v>#REF!</v>
      </c>
      <c r="R45" s="10" t="e">
        <f t="shared" si="6"/>
        <v>#REF!</v>
      </c>
      <c r="S45" s="56" t="e">
        <f t="shared" si="7"/>
        <v>#REF!</v>
      </c>
    </row>
    <row r="46" spans="1:21" ht="25.5">
      <c r="A46" s="45">
        <v>24</v>
      </c>
      <c r="B46" s="46" t="s">
        <v>176</v>
      </c>
      <c r="C46" s="70">
        <v>2</v>
      </c>
      <c r="D46" s="62">
        <f t="shared" si="9"/>
        <v>1.08</v>
      </c>
      <c r="E46" s="48">
        <v>1.43</v>
      </c>
      <c r="F46" s="48" t="e">
        <f t="shared" si="10"/>
        <v>#REF!</v>
      </c>
      <c r="G46" s="50" t="e">
        <f t="shared" si="1"/>
        <v>#REF!</v>
      </c>
      <c r="H46" s="51" t="s">
        <v>15</v>
      </c>
      <c r="I46" s="51" t="s">
        <v>15</v>
      </c>
      <c r="J46" s="51" t="s">
        <v>15</v>
      </c>
      <c r="K46" s="51" t="s">
        <v>15</v>
      </c>
      <c r="L46" s="51" t="s">
        <v>15</v>
      </c>
      <c r="M46" s="63">
        <v>1</v>
      </c>
      <c r="N46" s="53" t="e">
        <f t="shared" si="2"/>
        <v>#REF!</v>
      </c>
      <c r="O46" s="54">
        <f t="shared" si="3"/>
        <v>0</v>
      </c>
      <c r="P46" s="50" t="e">
        <f t="shared" si="4"/>
        <v>#REF!</v>
      </c>
      <c r="Q46" s="55" t="e">
        <f t="shared" si="5"/>
        <v>#REF!</v>
      </c>
      <c r="R46" s="10" t="e">
        <f t="shared" si="6"/>
        <v>#REF!</v>
      </c>
      <c r="S46" s="56" t="e">
        <f t="shared" si="7"/>
        <v>#REF!</v>
      </c>
    </row>
    <row r="47" spans="1:21">
      <c r="A47" s="45">
        <v>25</v>
      </c>
      <c r="B47" s="46" t="s">
        <v>172</v>
      </c>
      <c r="C47" s="70">
        <v>2</v>
      </c>
      <c r="D47" s="62">
        <f t="shared" si="9"/>
        <v>1.08</v>
      </c>
      <c r="E47" s="48">
        <v>1.43</v>
      </c>
      <c r="F47" s="48" t="e">
        <f t="shared" si="10"/>
        <v>#REF!</v>
      </c>
      <c r="G47" s="50" t="e">
        <f t="shared" si="1"/>
        <v>#REF!</v>
      </c>
      <c r="H47" s="71" t="e">
        <f>G47*$F$18</f>
        <v>#REF!</v>
      </c>
      <c r="I47" s="71" t="e">
        <f>H47*$F$15</f>
        <v>#REF!</v>
      </c>
      <c r="J47" s="72">
        <f>$F$16*8/12</f>
        <v>6.666666666666667</v>
      </c>
      <c r="K47" s="71" t="e">
        <f>G47*J47</f>
        <v>#REF!</v>
      </c>
      <c r="L47" s="51">
        <v>0</v>
      </c>
      <c r="M47" s="65">
        <v>2</v>
      </c>
      <c r="N47" s="50" t="e">
        <f>(F47+I47+K47+L47)*M47</f>
        <v>#REF!</v>
      </c>
      <c r="O47" s="54">
        <f t="shared" si="3"/>
        <v>0</v>
      </c>
      <c r="P47" s="50" t="e">
        <f t="shared" si="4"/>
        <v>#REF!</v>
      </c>
      <c r="Q47" s="55" t="e">
        <f t="shared" si="5"/>
        <v>#REF!</v>
      </c>
      <c r="R47" s="10" t="e">
        <f t="shared" si="6"/>
        <v>#REF!</v>
      </c>
      <c r="S47" s="56" t="e">
        <f t="shared" si="7"/>
        <v>#REF!</v>
      </c>
    </row>
    <row r="48" spans="1:21">
      <c r="A48" s="45">
        <v>26</v>
      </c>
      <c r="B48" s="46" t="s">
        <v>177</v>
      </c>
      <c r="C48" s="47">
        <v>4</v>
      </c>
      <c r="D48" s="62">
        <f t="shared" si="9"/>
        <v>1.35</v>
      </c>
      <c r="E48" s="73">
        <f>[4]Г_У!$I$12</f>
        <v>1.2</v>
      </c>
      <c r="F48" s="48" t="e">
        <f t="shared" si="10"/>
        <v>#REF!</v>
      </c>
      <c r="G48" s="50" t="e">
        <f t="shared" si="1"/>
        <v>#REF!</v>
      </c>
      <c r="H48" s="51" t="s">
        <v>15</v>
      </c>
      <c r="I48" s="51" t="s">
        <v>15</v>
      </c>
      <c r="J48" s="51" t="s">
        <v>15</v>
      </c>
      <c r="K48" s="51" t="s">
        <v>15</v>
      </c>
      <c r="L48" s="51" t="s">
        <v>15</v>
      </c>
      <c r="M48" s="63">
        <v>1</v>
      </c>
      <c r="N48" s="53" t="e">
        <f t="shared" si="2"/>
        <v>#REF!</v>
      </c>
      <c r="O48" s="54">
        <f t="shared" si="3"/>
        <v>0</v>
      </c>
      <c r="P48" s="50" t="e">
        <f t="shared" si="4"/>
        <v>#REF!</v>
      </c>
      <c r="Q48" s="55" t="e">
        <f t="shared" si="5"/>
        <v>#REF!</v>
      </c>
      <c r="R48" s="10" t="e">
        <f t="shared" si="6"/>
        <v>#REF!</v>
      </c>
      <c r="S48" s="56" t="e">
        <f t="shared" si="7"/>
        <v>#REF!</v>
      </c>
    </row>
    <row r="49" spans="1:21" ht="25.5">
      <c r="A49" s="45">
        <v>27</v>
      </c>
      <c r="B49" s="46" t="s">
        <v>178</v>
      </c>
      <c r="C49" s="47">
        <v>4</v>
      </c>
      <c r="D49" s="62">
        <f t="shared" si="9"/>
        <v>1.35</v>
      </c>
      <c r="E49" s="73">
        <f>[4]Г_У!$I$12</f>
        <v>1.2</v>
      </c>
      <c r="F49" s="48" t="e">
        <f t="shared" si="10"/>
        <v>#REF!</v>
      </c>
      <c r="G49" s="50" t="e">
        <f t="shared" si="1"/>
        <v>#REF!</v>
      </c>
      <c r="H49" s="51" t="s">
        <v>15</v>
      </c>
      <c r="I49" s="51" t="s">
        <v>15</v>
      </c>
      <c r="J49" s="51" t="s">
        <v>15</v>
      </c>
      <c r="K49" s="51" t="s">
        <v>15</v>
      </c>
      <c r="L49" s="51" t="s">
        <v>15</v>
      </c>
      <c r="M49" s="63">
        <v>1</v>
      </c>
      <c r="N49" s="53" t="e">
        <f t="shared" si="2"/>
        <v>#REF!</v>
      </c>
      <c r="O49" s="54">
        <f t="shared" si="3"/>
        <v>0</v>
      </c>
      <c r="P49" s="50" t="e">
        <f t="shared" si="4"/>
        <v>#REF!</v>
      </c>
      <c r="Q49" s="55" t="e">
        <f t="shared" si="5"/>
        <v>#REF!</v>
      </c>
      <c r="R49" s="10" t="e">
        <f t="shared" si="6"/>
        <v>#REF!</v>
      </c>
      <c r="S49" s="56" t="e">
        <f t="shared" si="7"/>
        <v>#REF!</v>
      </c>
    </row>
    <row r="50" spans="1:21" ht="25.5">
      <c r="A50" s="45">
        <v>28</v>
      </c>
      <c r="B50" s="74" t="s">
        <v>179</v>
      </c>
      <c r="C50" s="47">
        <v>4</v>
      </c>
      <c r="D50" s="62">
        <f t="shared" si="9"/>
        <v>1.35</v>
      </c>
      <c r="E50" s="73">
        <f>[4]Г_У!$I$12</f>
        <v>1.2</v>
      </c>
      <c r="F50" s="48" t="e">
        <f t="shared" si="10"/>
        <v>#REF!</v>
      </c>
      <c r="G50" s="50" t="e">
        <f t="shared" si="1"/>
        <v>#REF!</v>
      </c>
      <c r="H50" s="51">
        <v>0</v>
      </c>
      <c r="I50" s="51">
        <v>0</v>
      </c>
      <c r="J50" s="51">
        <v>0</v>
      </c>
      <c r="K50" s="51">
        <v>0</v>
      </c>
      <c r="L50" s="71" t="e">
        <f>F50*$F$19</f>
        <v>#REF!</v>
      </c>
      <c r="M50" s="66">
        <v>4</v>
      </c>
      <c r="N50" s="50" t="e">
        <f>(F50+I50+K50+L50)*M50</f>
        <v>#REF!</v>
      </c>
      <c r="O50" s="54">
        <f t="shared" si="3"/>
        <v>0</v>
      </c>
      <c r="P50" s="50" t="e">
        <f t="shared" si="4"/>
        <v>#REF!</v>
      </c>
      <c r="Q50" s="55" t="e">
        <f t="shared" si="5"/>
        <v>#REF!</v>
      </c>
      <c r="R50" s="10" t="e">
        <f t="shared" si="6"/>
        <v>#REF!</v>
      </c>
      <c r="S50" s="56" t="e">
        <f t="shared" si="7"/>
        <v>#REF!</v>
      </c>
    </row>
    <row r="51" spans="1:21" ht="38.25">
      <c r="A51" s="2" t="s">
        <v>228</v>
      </c>
      <c r="B51" s="103" t="s">
        <v>180</v>
      </c>
      <c r="C51" s="104">
        <v>4</v>
      </c>
      <c r="D51" s="105">
        <f t="shared" si="9"/>
        <v>1.35</v>
      </c>
      <c r="E51" s="106">
        <f>[4]Г_У!$I$12</f>
        <v>1.2</v>
      </c>
      <c r="F51" s="107" t="e">
        <f t="shared" si="10"/>
        <v>#REF!</v>
      </c>
      <c r="G51" s="108" t="e">
        <f t="shared" si="1"/>
        <v>#REF!</v>
      </c>
      <c r="H51" s="109" t="s">
        <v>15</v>
      </c>
      <c r="I51" s="109" t="s">
        <v>15</v>
      </c>
      <c r="J51" s="109" t="s">
        <v>15</v>
      </c>
      <c r="K51" s="109" t="s">
        <v>15</v>
      </c>
      <c r="L51" s="109" t="s">
        <v>15</v>
      </c>
      <c r="M51" s="110">
        <v>4</v>
      </c>
      <c r="N51" s="110" t="e">
        <f t="shared" si="2"/>
        <v>#REF!</v>
      </c>
      <c r="O51" s="111">
        <f t="shared" si="3"/>
        <v>0</v>
      </c>
      <c r="P51" s="108" t="e">
        <f t="shared" si="4"/>
        <v>#REF!</v>
      </c>
      <c r="Q51" s="112" t="e">
        <f t="shared" si="5"/>
        <v>#REF!</v>
      </c>
      <c r="R51" s="113" t="e">
        <f t="shared" si="6"/>
        <v>#REF!</v>
      </c>
      <c r="S51" s="114" t="e">
        <f t="shared" si="7"/>
        <v>#REF!</v>
      </c>
      <c r="T51" s="102"/>
      <c r="U51" s="102" t="e">
        <f>F51/1.2</f>
        <v>#REF!</v>
      </c>
    </row>
    <row r="52" spans="1:21" ht="38.25">
      <c r="A52" s="3">
        <v>7131</v>
      </c>
      <c r="B52" s="75" t="s">
        <v>182</v>
      </c>
      <c r="C52" s="22">
        <v>4</v>
      </c>
      <c r="D52" s="62">
        <f>VLOOKUP(C52,$M$7:$N$12,2,FALSE)</f>
        <v>1.35</v>
      </c>
      <c r="E52" s="73">
        <f>[4]Г_У!$I$12</f>
        <v>1.2</v>
      </c>
      <c r="F52" s="48" t="e">
        <f>ROUND(($F$9*E52)*D52,2)</f>
        <v>#REF!</v>
      </c>
      <c r="G52" s="50" t="e">
        <f>ROUND(F52/$F$14,2)</f>
        <v>#REF!</v>
      </c>
      <c r="H52" s="51" t="s">
        <v>15</v>
      </c>
      <c r="I52" s="51" t="s">
        <v>15</v>
      </c>
      <c r="J52" s="51" t="s">
        <v>15</v>
      </c>
      <c r="K52" s="51" t="s">
        <v>15</v>
      </c>
      <c r="L52" s="51" t="s">
        <v>15</v>
      </c>
      <c r="M52" s="76">
        <v>2</v>
      </c>
      <c r="N52" s="53" t="e">
        <f>(G52*$F$14)*M52</f>
        <v>#REF!</v>
      </c>
      <c r="O52" s="54">
        <f t="shared" si="3"/>
        <v>0</v>
      </c>
      <c r="P52" s="50" t="e">
        <f>ROUND(N52*O52,2)</f>
        <v>#REF!</v>
      </c>
      <c r="Q52" s="55" t="e">
        <f>P52+N52</f>
        <v>#REF!</v>
      </c>
      <c r="R52" s="10" t="e">
        <f>F52*O52</f>
        <v>#REF!</v>
      </c>
      <c r="S52" s="56" t="e">
        <f>F52+R52</f>
        <v>#REF!</v>
      </c>
    </row>
    <row r="53" spans="1:21" ht="38.25">
      <c r="A53" s="45">
        <v>30</v>
      </c>
      <c r="B53" s="46" t="s">
        <v>180</v>
      </c>
      <c r="C53" s="47">
        <v>4</v>
      </c>
      <c r="D53" s="62">
        <f t="shared" si="9"/>
        <v>1.35</v>
      </c>
      <c r="E53" s="48">
        <v>1.2</v>
      </c>
      <c r="F53" s="48" t="e">
        <f t="shared" si="10"/>
        <v>#REF!</v>
      </c>
      <c r="G53" s="60" t="e">
        <f t="shared" si="1"/>
        <v>#REF!</v>
      </c>
      <c r="H53" s="71" t="e">
        <f>G53*$F$18</f>
        <v>#REF!</v>
      </c>
      <c r="I53" s="71" t="e">
        <f>H53*$F$15</f>
        <v>#REF!</v>
      </c>
      <c r="J53" s="72">
        <f>$F$16*8/12</f>
        <v>6.666666666666667</v>
      </c>
      <c r="K53" s="71" t="e">
        <f>G53*J53</f>
        <v>#REF!</v>
      </c>
      <c r="L53" s="71">
        <v>0</v>
      </c>
      <c r="M53" s="65">
        <v>2</v>
      </c>
      <c r="N53" s="50" t="e">
        <f>(F53+I53+K53+L53)*M53</f>
        <v>#REF!</v>
      </c>
      <c r="O53" s="54">
        <f t="shared" si="3"/>
        <v>0</v>
      </c>
      <c r="P53" s="50" t="e">
        <f t="shared" si="4"/>
        <v>#REF!</v>
      </c>
      <c r="Q53" s="55" t="e">
        <f t="shared" si="5"/>
        <v>#REF!</v>
      </c>
      <c r="R53" s="10" t="e">
        <f t="shared" si="6"/>
        <v>#REF!</v>
      </c>
      <c r="S53" s="56" t="e">
        <f t="shared" si="7"/>
        <v>#REF!</v>
      </c>
    </row>
    <row r="54" spans="1:21" ht="38.25">
      <c r="A54" s="45">
        <v>31</v>
      </c>
      <c r="B54" s="46" t="s">
        <v>181</v>
      </c>
      <c r="C54" s="47">
        <v>3</v>
      </c>
      <c r="D54" s="62">
        <f t="shared" si="9"/>
        <v>1.2</v>
      </c>
      <c r="E54" s="73">
        <f>[4]Г_У!$I$12</f>
        <v>1.2</v>
      </c>
      <c r="F54" s="48" t="e">
        <f t="shared" si="10"/>
        <v>#REF!</v>
      </c>
      <c r="G54" s="50" t="e">
        <f t="shared" si="1"/>
        <v>#REF!</v>
      </c>
      <c r="H54" s="51" t="s">
        <v>15</v>
      </c>
      <c r="I54" s="51" t="s">
        <v>15</v>
      </c>
      <c r="J54" s="51" t="s">
        <v>15</v>
      </c>
      <c r="K54" s="51" t="s">
        <v>15</v>
      </c>
      <c r="L54" s="51" t="s">
        <v>15</v>
      </c>
      <c r="M54" s="66">
        <v>1</v>
      </c>
      <c r="N54" s="53" t="e">
        <f t="shared" ref="N54:N64" si="11">(G54*$F$14)*M54</f>
        <v>#REF!</v>
      </c>
      <c r="O54" s="54">
        <f t="shared" si="3"/>
        <v>0</v>
      </c>
      <c r="P54" s="50" t="e">
        <f t="shared" si="4"/>
        <v>#REF!</v>
      </c>
      <c r="Q54" s="55" t="e">
        <f t="shared" si="5"/>
        <v>#REF!</v>
      </c>
      <c r="R54" s="10" t="e">
        <f t="shared" si="6"/>
        <v>#REF!</v>
      </c>
      <c r="S54" s="56" t="e">
        <f t="shared" si="7"/>
        <v>#REF!</v>
      </c>
    </row>
    <row r="55" spans="1:21" ht="38.25">
      <c r="A55" s="45">
        <v>33</v>
      </c>
      <c r="B55" s="75" t="s">
        <v>183</v>
      </c>
      <c r="C55" s="22">
        <v>3</v>
      </c>
      <c r="D55" s="62">
        <f t="shared" si="9"/>
        <v>1.2</v>
      </c>
      <c r="E55" s="73">
        <f>[4]Г_У!$I$12</f>
        <v>1.2</v>
      </c>
      <c r="F55" s="48" t="e">
        <f t="shared" si="10"/>
        <v>#REF!</v>
      </c>
      <c r="G55" s="50" t="e">
        <f t="shared" si="1"/>
        <v>#REF!</v>
      </c>
      <c r="H55" s="51" t="s">
        <v>15</v>
      </c>
      <c r="I55" s="51" t="s">
        <v>15</v>
      </c>
      <c r="J55" s="51" t="s">
        <v>15</v>
      </c>
      <c r="K55" s="51" t="s">
        <v>15</v>
      </c>
      <c r="L55" s="51" t="s">
        <v>15</v>
      </c>
      <c r="M55" s="76">
        <v>2</v>
      </c>
      <c r="N55" s="53" t="e">
        <f t="shared" si="11"/>
        <v>#REF!</v>
      </c>
      <c r="O55" s="54">
        <f t="shared" si="3"/>
        <v>0</v>
      </c>
      <c r="P55" s="50" t="e">
        <f t="shared" si="4"/>
        <v>#REF!</v>
      </c>
      <c r="Q55" s="55" t="e">
        <f t="shared" si="5"/>
        <v>#REF!</v>
      </c>
      <c r="R55" s="10" t="e">
        <f t="shared" si="6"/>
        <v>#REF!</v>
      </c>
      <c r="S55" s="56" t="e">
        <f t="shared" si="7"/>
        <v>#REF!</v>
      </c>
    </row>
    <row r="56" spans="1:21">
      <c r="A56" s="45">
        <v>34</v>
      </c>
      <c r="B56" s="77" t="s">
        <v>184</v>
      </c>
      <c r="C56" s="47">
        <v>4</v>
      </c>
      <c r="D56" s="62">
        <f t="shared" si="9"/>
        <v>1.35</v>
      </c>
      <c r="E56" s="73">
        <f>[4]Г_У!$I$12</f>
        <v>1.2</v>
      </c>
      <c r="F56" s="48" t="e">
        <f t="shared" si="10"/>
        <v>#REF!</v>
      </c>
      <c r="G56" s="50" t="e">
        <f t="shared" si="1"/>
        <v>#REF!</v>
      </c>
      <c r="H56" s="51" t="s">
        <v>15</v>
      </c>
      <c r="I56" s="51" t="s">
        <v>15</v>
      </c>
      <c r="J56" s="51" t="s">
        <v>15</v>
      </c>
      <c r="K56" s="51" t="s">
        <v>15</v>
      </c>
      <c r="L56" s="51" t="s">
        <v>15</v>
      </c>
      <c r="M56" s="64">
        <v>11</v>
      </c>
      <c r="N56" s="53" t="e">
        <f t="shared" si="11"/>
        <v>#REF!</v>
      </c>
      <c r="O56" s="54">
        <f t="shared" si="3"/>
        <v>0</v>
      </c>
      <c r="P56" s="50" t="e">
        <f t="shared" si="4"/>
        <v>#REF!</v>
      </c>
      <c r="Q56" s="55" t="e">
        <f t="shared" si="5"/>
        <v>#REF!</v>
      </c>
      <c r="R56" s="10" t="e">
        <f t="shared" si="6"/>
        <v>#REF!</v>
      </c>
      <c r="S56" s="56" t="e">
        <f t="shared" si="7"/>
        <v>#REF!</v>
      </c>
    </row>
    <row r="57" spans="1:21">
      <c r="A57" s="45">
        <v>35</v>
      </c>
      <c r="B57" s="77" t="s">
        <v>185</v>
      </c>
      <c r="C57" s="47">
        <v>4</v>
      </c>
      <c r="D57" s="62">
        <f t="shared" si="9"/>
        <v>1.35</v>
      </c>
      <c r="E57" s="73">
        <f>[4]Г_У!$I$12</f>
        <v>1.2</v>
      </c>
      <c r="F57" s="48" t="e">
        <f t="shared" si="10"/>
        <v>#REF!</v>
      </c>
      <c r="G57" s="50" t="e">
        <f t="shared" si="1"/>
        <v>#REF!</v>
      </c>
      <c r="H57" s="51" t="s">
        <v>15</v>
      </c>
      <c r="I57" s="51" t="s">
        <v>15</v>
      </c>
      <c r="J57" s="51" t="s">
        <v>15</v>
      </c>
      <c r="K57" s="51" t="s">
        <v>15</v>
      </c>
      <c r="L57" s="51" t="s">
        <v>15</v>
      </c>
      <c r="M57" s="63">
        <v>5</v>
      </c>
      <c r="N57" s="53" t="e">
        <f t="shared" si="11"/>
        <v>#REF!</v>
      </c>
      <c r="O57" s="54">
        <f t="shared" si="3"/>
        <v>0</v>
      </c>
      <c r="P57" s="50" t="e">
        <f t="shared" si="4"/>
        <v>#REF!</v>
      </c>
      <c r="Q57" s="55" t="e">
        <f t="shared" si="5"/>
        <v>#REF!</v>
      </c>
      <c r="R57" s="10" t="e">
        <f t="shared" si="6"/>
        <v>#REF!</v>
      </c>
      <c r="S57" s="56" t="e">
        <f t="shared" si="7"/>
        <v>#REF!</v>
      </c>
    </row>
    <row r="58" spans="1:21">
      <c r="A58" s="45">
        <v>36</v>
      </c>
      <c r="B58" s="77" t="s">
        <v>186</v>
      </c>
      <c r="C58" s="47">
        <v>3</v>
      </c>
      <c r="D58" s="62">
        <f t="shared" si="9"/>
        <v>1.2</v>
      </c>
      <c r="E58" s="73">
        <f>[4]Г_У!$I$12</f>
        <v>1.2</v>
      </c>
      <c r="F58" s="48" t="e">
        <f t="shared" si="10"/>
        <v>#REF!</v>
      </c>
      <c r="G58" s="50" t="e">
        <f t="shared" si="1"/>
        <v>#REF!</v>
      </c>
      <c r="H58" s="51" t="s">
        <v>15</v>
      </c>
      <c r="I58" s="51" t="s">
        <v>15</v>
      </c>
      <c r="J58" s="51" t="s">
        <v>15</v>
      </c>
      <c r="K58" s="51" t="s">
        <v>15</v>
      </c>
      <c r="L58" s="51" t="s">
        <v>15</v>
      </c>
      <c r="M58" s="63">
        <v>3</v>
      </c>
      <c r="N58" s="53" t="e">
        <f t="shared" si="11"/>
        <v>#REF!</v>
      </c>
      <c r="O58" s="54">
        <f t="shared" si="3"/>
        <v>0</v>
      </c>
      <c r="P58" s="50" t="e">
        <f t="shared" si="4"/>
        <v>#REF!</v>
      </c>
      <c r="Q58" s="55" t="e">
        <f t="shared" si="5"/>
        <v>#REF!</v>
      </c>
      <c r="R58" s="10" t="e">
        <f t="shared" si="6"/>
        <v>#REF!</v>
      </c>
      <c r="S58" s="56" t="e">
        <f t="shared" si="7"/>
        <v>#REF!</v>
      </c>
    </row>
    <row r="59" spans="1:21">
      <c r="A59" s="45">
        <v>37</v>
      </c>
      <c r="B59" s="77" t="s">
        <v>187</v>
      </c>
      <c r="C59" s="47">
        <v>4</v>
      </c>
      <c r="D59" s="62">
        <f t="shared" si="9"/>
        <v>1.35</v>
      </c>
      <c r="E59" s="73">
        <f>[4]Г_У!$I$12</f>
        <v>1.2</v>
      </c>
      <c r="F59" s="48" t="e">
        <f t="shared" si="10"/>
        <v>#REF!</v>
      </c>
      <c r="G59" s="50" t="e">
        <f t="shared" si="1"/>
        <v>#REF!</v>
      </c>
      <c r="H59" s="51" t="s">
        <v>15</v>
      </c>
      <c r="I59" s="51" t="s">
        <v>15</v>
      </c>
      <c r="J59" s="51" t="s">
        <v>15</v>
      </c>
      <c r="K59" s="51" t="s">
        <v>15</v>
      </c>
      <c r="L59" s="51" t="s">
        <v>15</v>
      </c>
      <c r="M59" s="76">
        <v>2</v>
      </c>
      <c r="N59" s="53" t="e">
        <f t="shared" si="11"/>
        <v>#REF!</v>
      </c>
      <c r="O59" s="54">
        <f t="shared" si="3"/>
        <v>0</v>
      </c>
      <c r="P59" s="50" t="e">
        <f t="shared" si="4"/>
        <v>#REF!</v>
      </c>
      <c r="Q59" s="55" t="e">
        <f t="shared" si="5"/>
        <v>#REF!</v>
      </c>
      <c r="R59" s="10" t="e">
        <f t="shared" si="6"/>
        <v>#REF!</v>
      </c>
      <c r="S59" s="56" t="e">
        <f t="shared" si="7"/>
        <v>#REF!</v>
      </c>
    </row>
    <row r="60" spans="1:21">
      <c r="A60" s="45">
        <v>38</v>
      </c>
      <c r="B60" s="77" t="s">
        <v>188</v>
      </c>
      <c r="C60" s="47">
        <v>3</v>
      </c>
      <c r="D60" s="62">
        <f t="shared" si="9"/>
        <v>1.2</v>
      </c>
      <c r="E60" s="73">
        <f>[4]Г_У!$I$12</f>
        <v>1.2</v>
      </c>
      <c r="F60" s="48" t="e">
        <f t="shared" si="10"/>
        <v>#REF!</v>
      </c>
      <c r="G60" s="50" t="e">
        <f t="shared" si="1"/>
        <v>#REF!</v>
      </c>
      <c r="H60" s="51" t="s">
        <v>15</v>
      </c>
      <c r="I60" s="51" t="s">
        <v>15</v>
      </c>
      <c r="J60" s="51" t="s">
        <v>15</v>
      </c>
      <c r="K60" s="51" t="s">
        <v>15</v>
      </c>
      <c r="L60" s="51" t="s">
        <v>15</v>
      </c>
      <c r="M60" s="66">
        <v>3</v>
      </c>
      <c r="N60" s="53" t="e">
        <f t="shared" si="11"/>
        <v>#REF!</v>
      </c>
      <c r="O60" s="54">
        <f t="shared" si="3"/>
        <v>0</v>
      </c>
      <c r="P60" s="50" t="e">
        <f t="shared" si="4"/>
        <v>#REF!</v>
      </c>
      <c r="Q60" s="55" t="e">
        <f t="shared" si="5"/>
        <v>#REF!</v>
      </c>
      <c r="R60" s="10" t="e">
        <f t="shared" si="6"/>
        <v>#REF!</v>
      </c>
      <c r="S60" s="56" t="e">
        <f t="shared" si="7"/>
        <v>#REF!</v>
      </c>
    </row>
    <row r="61" spans="1:21">
      <c r="A61" s="45">
        <v>39</v>
      </c>
      <c r="B61" s="77" t="s">
        <v>189</v>
      </c>
      <c r="C61" s="47">
        <v>4</v>
      </c>
      <c r="D61" s="62">
        <f t="shared" si="9"/>
        <v>1.35</v>
      </c>
      <c r="E61" s="73">
        <f>[4]Г_У!$I$12</f>
        <v>1.2</v>
      </c>
      <c r="F61" s="48" t="e">
        <f t="shared" si="10"/>
        <v>#REF!</v>
      </c>
      <c r="G61" s="50" t="e">
        <f t="shared" si="1"/>
        <v>#REF!</v>
      </c>
      <c r="H61" s="51" t="s">
        <v>15</v>
      </c>
      <c r="I61" s="51" t="s">
        <v>15</v>
      </c>
      <c r="J61" s="51" t="s">
        <v>15</v>
      </c>
      <c r="K61" s="51" t="s">
        <v>15</v>
      </c>
      <c r="L61" s="51" t="s">
        <v>15</v>
      </c>
      <c r="M61" s="76">
        <v>2</v>
      </c>
      <c r="N61" s="53" t="e">
        <f t="shared" si="11"/>
        <v>#REF!</v>
      </c>
      <c r="O61" s="54">
        <f t="shared" si="3"/>
        <v>0</v>
      </c>
      <c r="P61" s="50" t="e">
        <f t="shared" si="4"/>
        <v>#REF!</v>
      </c>
      <c r="Q61" s="55" t="e">
        <f t="shared" si="5"/>
        <v>#REF!</v>
      </c>
      <c r="R61" s="10" t="e">
        <f t="shared" si="6"/>
        <v>#REF!</v>
      </c>
      <c r="S61" s="56" t="e">
        <f t="shared" si="7"/>
        <v>#REF!</v>
      </c>
    </row>
    <row r="62" spans="1:21">
      <c r="A62" s="45">
        <v>40</v>
      </c>
      <c r="B62" s="77" t="s">
        <v>190</v>
      </c>
      <c r="C62" s="47">
        <v>3</v>
      </c>
      <c r="D62" s="62">
        <f t="shared" si="9"/>
        <v>1.2</v>
      </c>
      <c r="E62" s="73">
        <f>[4]Г_У!$I$12</f>
        <v>1.2</v>
      </c>
      <c r="F62" s="48" t="e">
        <f t="shared" si="10"/>
        <v>#REF!</v>
      </c>
      <c r="G62" s="50" t="e">
        <f t="shared" si="1"/>
        <v>#REF!</v>
      </c>
      <c r="H62" s="51" t="s">
        <v>15</v>
      </c>
      <c r="I62" s="51" t="s">
        <v>15</v>
      </c>
      <c r="J62" s="51" t="s">
        <v>15</v>
      </c>
      <c r="K62" s="51" t="s">
        <v>15</v>
      </c>
      <c r="L62" s="51" t="s">
        <v>15</v>
      </c>
      <c r="M62" s="76">
        <v>2</v>
      </c>
      <c r="N62" s="53" t="e">
        <f t="shared" si="11"/>
        <v>#REF!</v>
      </c>
      <c r="O62" s="54">
        <f t="shared" si="3"/>
        <v>0</v>
      </c>
      <c r="P62" s="50" t="e">
        <f t="shared" si="4"/>
        <v>#REF!</v>
      </c>
      <c r="Q62" s="55" t="e">
        <f t="shared" si="5"/>
        <v>#REF!</v>
      </c>
      <c r="R62" s="10" t="e">
        <f t="shared" si="6"/>
        <v>#REF!</v>
      </c>
      <c r="S62" s="56" t="e">
        <f t="shared" si="7"/>
        <v>#REF!</v>
      </c>
    </row>
    <row r="63" spans="1:21">
      <c r="A63" s="45">
        <v>41</v>
      </c>
      <c r="B63" s="77" t="s">
        <v>191</v>
      </c>
      <c r="C63" s="47">
        <v>4</v>
      </c>
      <c r="D63" s="62">
        <f t="shared" si="9"/>
        <v>1.35</v>
      </c>
      <c r="E63" s="73">
        <f>[4]Г_У!$I$12</f>
        <v>1.2</v>
      </c>
      <c r="F63" s="48" t="e">
        <f t="shared" si="10"/>
        <v>#REF!</v>
      </c>
      <c r="G63" s="50" t="e">
        <f t="shared" si="1"/>
        <v>#REF!</v>
      </c>
      <c r="H63" s="51" t="s">
        <v>15</v>
      </c>
      <c r="I63" s="51" t="s">
        <v>15</v>
      </c>
      <c r="J63" s="51" t="s">
        <v>15</v>
      </c>
      <c r="K63" s="51" t="s">
        <v>15</v>
      </c>
      <c r="L63" s="51" t="s">
        <v>15</v>
      </c>
      <c r="M63" s="63">
        <v>3</v>
      </c>
      <c r="N63" s="53" t="e">
        <f t="shared" si="11"/>
        <v>#REF!</v>
      </c>
      <c r="O63" s="54">
        <f t="shared" si="3"/>
        <v>0</v>
      </c>
      <c r="P63" s="50" t="e">
        <f t="shared" si="4"/>
        <v>#REF!</v>
      </c>
      <c r="Q63" s="55" t="e">
        <f t="shared" si="5"/>
        <v>#REF!</v>
      </c>
      <c r="R63" s="10" t="e">
        <f t="shared" si="6"/>
        <v>#REF!</v>
      </c>
      <c r="S63" s="56" t="e">
        <f t="shared" si="7"/>
        <v>#REF!</v>
      </c>
    </row>
    <row r="64" spans="1:21">
      <c r="A64" s="45">
        <v>42</v>
      </c>
      <c r="B64" s="78" t="s">
        <v>192</v>
      </c>
      <c r="C64" s="47">
        <v>4</v>
      </c>
      <c r="D64" s="62">
        <f t="shared" si="9"/>
        <v>1.35</v>
      </c>
      <c r="E64" s="73">
        <f>[4]Г_У!$I$12</f>
        <v>1.2</v>
      </c>
      <c r="F64" s="48" t="e">
        <f t="shared" si="10"/>
        <v>#REF!</v>
      </c>
      <c r="G64" s="50" t="e">
        <f t="shared" si="1"/>
        <v>#REF!</v>
      </c>
      <c r="H64" s="51" t="s">
        <v>15</v>
      </c>
      <c r="I64" s="51" t="s">
        <v>15</v>
      </c>
      <c r="J64" s="51" t="s">
        <v>15</v>
      </c>
      <c r="K64" s="51" t="s">
        <v>15</v>
      </c>
      <c r="L64" s="51" t="s">
        <v>15</v>
      </c>
      <c r="M64" s="63">
        <v>0.5</v>
      </c>
      <c r="N64" s="53" t="e">
        <f t="shared" si="11"/>
        <v>#REF!</v>
      </c>
      <c r="O64" s="54">
        <f t="shared" si="3"/>
        <v>0</v>
      </c>
      <c r="P64" s="50" t="e">
        <f t="shared" si="4"/>
        <v>#REF!</v>
      </c>
      <c r="Q64" s="55" t="e">
        <f t="shared" si="5"/>
        <v>#REF!</v>
      </c>
      <c r="R64" s="10" t="e">
        <f t="shared" si="6"/>
        <v>#REF!</v>
      </c>
      <c r="S64" s="56" t="e">
        <f t="shared" si="7"/>
        <v>#REF!</v>
      </c>
    </row>
    <row r="65" spans="1:19" ht="25.5">
      <c r="A65" s="45">
        <v>43</v>
      </c>
      <c r="B65" s="46" t="s">
        <v>193</v>
      </c>
      <c r="C65" s="47">
        <v>4</v>
      </c>
      <c r="D65" s="62">
        <f t="shared" si="9"/>
        <v>1.35</v>
      </c>
      <c r="E65" s="48">
        <v>1.2</v>
      </c>
      <c r="F65" s="48" t="e">
        <f>ROUND(($F$9*E65)*D65,2)</f>
        <v>#REF!</v>
      </c>
      <c r="G65" s="60" t="e">
        <f>ROUND(F65/$F$14,2)</f>
        <v>#REF!</v>
      </c>
      <c r="H65" s="71" t="e">
        <f>G65*$F$18</f>
        <v>#REF!</v>
      </c>
      <c r="I65" s="71" t="e">
        <f>H65*$F$15</f>
        <v>#REF!</v>
      </c>
      <c r="J65" s="72">
        <f>$F$16*8/12</f>
        <v>6.666666666666667</v>
      </c>
      <c r="K65" s="71" t="e">
        <f>G65*J65</f>
        <v>#REF!</v>
      </c>
      <c r="L65" s="71"/>
      <c r="M65" s="65">
        <v>2</v>
      </c>
      <c r="N65" s="50" t="e">
        <f>(F65+I65+K65+L65)*M65</f>
        <v>#REF!</v>
      </c>
      <c r="O65" s="54">
        <f t="shared" si="3"/>
        <v>0</v>
      </c>
      <c r="P65" s="50" t="e">
        <f t="shared" si="4"/>
        <v>#REF!</v>
      </c>
      <c r="Q65" s="55" t="e">
        <f t="shared" si="5"/>
        <v>#REF!</v>
      </c>
      <c r="R65" s="10" t="e">
        <f t="shared" si="6"/>
        <v>#REF!</v>
      </c>
      <c r="S65" s="56" t="e">
        <f t="shared" si="7"/>
        <v>#REF!</v>
      </c>
    </row>
    <row r="66" spans="1:19">
      <c r="A66" s="45">
        <v>44</v>
      </c>
      <c r="B66" s="79" t="s">
        <v>194</v>
      </c>
      <c r="C66" s="80">
        <v>1</v>
      </c>
      <c r="D66" s="62">
        <f t="shared" si="9"/>
        <v>1</v>
      </c>
      <c r="E66" s="73">
        <f>[4]Г_У!$I$12</f>
        <v>1.2</v>
      </c>
      <c r="F66" s="48" t="e">
        <f>ROUND(($F$5*E66)*D66,2)</f>
        <v>#REF!</v>
      </c>
      <c r="G66" s="50" t="e">
        <f>ROUND(F66/$F$14,2)</f>
        <v>#REF!</v>
      </c>
      <c r="H66" s="51" t="s">
        <v>15</v>
      </c>
      <c r="I66" s="51" t="s">
        <v>15</v>
      </c>
      <c r="J66" s="51" t="s">
        <v>15</v>
      </c>
      <c r="K66" s="51" t="s">
        <v>15</v>
      </c>
      <c r="L66" s="51" t="s">
        <v>15</v>
      </c>
      <c r="M66" s="61">
        <v>51</v>
      </c>
      <c r="N66" s="53" t="e">
        <f>(G66*$F$14)*M66</f>
        <v>#REF!</v>
      </c>
      <c r="O66" s="54">
        <f t="shared" si="3"/>
        <v>0</v>
      </c>
      <c r="P66" s="50" t="e">
        <f t="shared" si="4"/>
        <v>#REF!</v>
      </c>
      <c r="Q66" s="55" t="e">
        <f t="shared" si="5"/>
        <v>#REF!</v>
      </c>
      <c r="R66" s="10" t="e">
        <f t="shared" si="6"/>
        <v>#REF!</v>
      </c>
      <c r="S66" s="56" t="e">
        <f t="shared" si="7"/>
        <v>#REF!</v>
      </c>
    </row>
    <row r="67" spans="1:19">
      <c r="A67" s="45">
        <v>45</v>
      </c>
      <c r="B67" s="79" t="s">
        <v>195</v>
      </c>
      <c r="C67" s="80">
        <v>1</v>
      </c>
      <c r="D67" s="62">
        <f t="shared" si="9"/>
        <v>1</v>
      </c>
      <c r="E67" s="73">
        <f>[4]Г_У!$I$12</f>
        <v>1.2</v>
      </c>
      <c r="F67" s="48" t="e">
        <f>ROUND(($F$5*E67)*D67,2)</f>
        <v>#REF!</v>
      </c>
      <c r="G67" s="50" t="e">
        <f>ROUND(F67/$F$14,2)</f>
        <v>#REF!</v>
      </c>
      <c r="H67" s="71" t="e">
        <f>G67*$F$18</f>
        <v>#REF!</v>
      </c>
      <c r="I67" s="71" t="e">
        <f>H67*$F$15*3</f>
        <v>#REF!</v>
      </c>
      <c r="J67" s="72">
        <f>$F$16*8/12</f>
        <v>6.666666666666667</v>
      </c>
      <c r="K67" s="71" t="e">
        <f>G67*J67</f>
        <v>#REF!</v>
      </c>
      <c r="L67" s="51">
        <v>0</v>
      </c>
      <c r="M67" s="63">
        <v>3</v>
      </c>
      <c r="N67" s="50" t="e">
        <f>(F67+I67+K67+L67)*M67</f>
        <v>#REF!</v>
      </c>
      <c r="O67" s="54">
        <f t="shared" si="3"/>
        <v>0</v>
      </c>
      <c r="P67" s="50" t="e">
        <f t="shared" si="4"/>
        <v>#REF!</v>
      </c>
      <c r="Q67" s="55" t="e">
        <f t="shared" si="5"/>
        <v>#REF!</v>
      </c>
      <c r="R67" s="10" t="e">
        <f t="shared" si="6"/>
        <v>#REF!</v>
      </c>
      <c r="S67" s="56" t="e">
        <f t="shared" si="7"/>
        <v>#REF!</v>
      </c>
    </row>
    <row r="68" spans="1:19" ht="25.5">
      <c r="A68" s="45">
        <v>46</v>
      </c>
      <c r="B68" s="46" t="s">
        <v>196</v>
      </c>
      <c r="C68" s="47">
        <v>1</v>
      </c>
      <c r="D68" s="62">
        <v>1</v>
      </c>
      <c r="E68" s="48">
        <v>1.2</v>
      </c>
      <c r="F68" s="48" t="e">
        <f>ROUND(($F$5*E68)*D68,2)</f>
        <v>#REF!</v>
      </c>
      <c r="G68" s="50" t="e">
        <f>ROUND(F68/$F$14,2)</f>
        <v>#REF!</v>
      </c>
      <c r="H68" s="51" t="s">
        <v>15</v>
      </c>
      <c r="I68" s="51" t="s">
        <v>15</v>
      </c>
      <c r="J68" s="51" t="s">
        <v>15</v>
      </c>
      <c r="K68" s="51" t="s">
        <v>15</v>
      </c>
      <c r="L68" s="51" t="s">
        <v>15</v>
      </c>
      <c r="M68" s="63">
        <v>1</v>
      </c>
      <c r="N68" s="53" t="e">
        <f>(G68*$F$14)*M68</f>
        <v>#REF!</v>
      </c>
      <c r="O68" s="54">
        <f t="shared" si="3"/>
        <v>0</v>
      </c>
      <c r="P68" s="50" t="e">
        <f t="shared" si="4"/>
        <v>#REF!</v>
      </c>
      <c r="Q68" s="55" t="e">
        <f t="shared" si="5"/>
        <v>#REF!</v>
      </c>
      <c r="R68" s="10" t="e">
        <f t="shared" si="6"/>
        <v>#REF!</v>
      </c>
      <c r="S68" s="56" t="e">
        <f t="shared" si="7"/>
        <v>#REF!</v>
      </c>
    </row>
    <row r="69" spans="1:19" hidden="1" outlineLevel="1"/>
    <row r="70" spans="1:19" hidden="1" outlineLevel="1">
      <c r="A70" s="45"/>
      <c r="B70" s="79" t="s">
        <v>197</v>
      </c>
      <c r="C70" s="80">
        <v>1</v>
      </c>
      <c r="D70" s="62">
        <f t="shared" ref="D70:D83" si="12">VLOOKUP(C70,$M$7:$N$12,2,FALSE)</f>
        <v>1</v>
      </c>
      <c r="E70" s="73">
        <f>[4]Г_У!$I$12</f>
        <v>1.2</v>
      </c>
      <c r="F70" s="48" t="e">
        <f>ROUND(($F$5*E70)*D70,2)</f>
        <v>#REF!</v>
      </c>
      <c r="G70" s="50" t="e">
        <f t="shared" ref="G70:G87" si="13">ROUND(F70/$F$14,2)</f>
        <v>#REF!</v>
      </c>
      <c r="H70" s="51" t="s">
        <v>15</v>
      </c>
      <c r="I70" s="51" t="s">
        <v>15</v>
      </c>
      <c r="J70" s="51" t="s">
        <v>15</v>
      </c>
      <c r="K70" s="51" t="s">
        <v>15</v>
      </c>
      <c r="L70" s="51" t="s">
        <v>15</v>
      </c>
      <c r="M70" s="53"/>
      <c r="N70" s="53" t="e">
        <f>(G70*$F$14)*M70</f>
        <v>#REF!</v>
      </c>
      <c r="O70" s="54">
        <f t="shared" si="3"/>
        <v>0</v>
      </c>
      <c r="P70" s="50" t="e">
        <f>ROUND(N70*O70,2)</f>
        <v>#REF!</v>
      </c>
      <c r="Q70" s="82" t="e">
        <f>P70+N70</f>
        <v>#REF!</v>
      </c>
      <c r="R70" s="10" t="e">
        <f t="shared" ref="R70:R102" si="14">F70*O70</f>
        <v>#REF!</v>
      </c>
      <c r="S70" s="56" t="e">
        <f t="shared" ref="S70:S102" si="15">F70+R70</f>
        <v>#REF!</v>
      </c>
    </row>
    <row r="71" spans="1:19" hidden="1" outlineLevel="1">
      <c r="A71" s="45"/>
      <c r="B71" s="79" t="s">
        <v>198</v>
      </c>
      <c r="C71" s="80">
        <v>1</v>
      </c>
      <c r="D71" s="62">
        <f t="shared" si="12"/>
        <v>1</v>
      </c>
      <c r="E71" s="73">
        <v>1.38</v>
      </c>
      <c r="F71" s="48" t="e">
        <f>ROUND(($F$5*E71)*D71,2)</f>
        <v>#REF!</v>
      </c>
      <c r="G71" s="50" t="e">
        <f t="shared" si="13"/>
        <v>#REF!</v>
      </c>
      <c r="H71" s="51"/>
      <c r="I71" s="51"/>
      <c r="J71" s="51"/>
      <c r="K71" s="51"/>
      <c r="L71" s="51"/>
      <c r="M71" s="83"/>
      <c r="N71" s="53" t="e">
        <f>(G71*$F$14)*M71</f>
        <v>#REF!</v>
      </c>
      <c r="O71" s="54">
        <f t="shared" si="3"/>
        <v>0</v>
      </c>
      <c r="P71" s="50" t="e">
        <f>ROUND(N71*O71,2)</f>
        <v>#REF!</v>
      </c>
      <c r="Q71" s="69" t="e">
        <f>P71+N71</f>
        <v>#REF!</v>
      </c>
      <c r="R71" s="10" t="e">
        <f t="shared" si="14"/>
        <v>#REF!</v>
      </c>
      <c r="S71" s="56" t="e">
        <f t="shared" si="15"/>
        <v>#REF!</v>
      </c>
    </row>
    <row r="72" spans="1:19" hidden="1" outlineLevel="1">
      <c r="A72" s="45"/>
      <c r="B72" s="79" t="s">
        <v>199</v>
      </c>
      <c r="C72" s="80">
        <v>1</v>
      </c>
      <c r="D72" s="62">
        <f t="shared" si="12"/>
        <v>1</v>
      </c>
      <c r="E72" s="73">
        <v>1.38</v>
      </c>
      <c r="F72" s="48" t="e">
        <f>ROUND(($F$5*E72)*D72,2)</f>
        <v>#REF!</v>
      </c>
      <c r="G72" s="50" t="e">
        <f t="shared" si="13"/>
        <v>#REF!</v>
      </c>
      <c r="H72" s="51"/>
      <c r="I72" s="51"/>
      <c r="J72" s="51"/>
      <c r="K72" s="51"/>
      <c r="L72" s="51"/>
      <c r="M72" s="83"/>
      <c r="N72" s="53"/>
      <c r="O72" s="54">
        <f t="shared" si="3"/>
        <v>0</v>
      </c>
      <c r="P72" s="50"/>
      <c r="Q72" s="69"/>
      <c r="R72" s="10" t="e">
        <f t="shared" si="14"/>
        <v>#REF!</v>
      </c>
      <c r="S72" s="56" t="e">
        <f t="shared" si="15"/>
        <v>#REF!</v>
      </c>
    </row>
    <row r="73" spans="1:19" hidden="1" outlineLevel="1">
      <c r="A73" s="45"/>
      <c r="B73" s="77" t="s">
        <v>200</v>
      </c>
      <c r="C73" s="47">
        <v>4</v>
      </c>
      <c r="D73" s="62">
        <f t="shared" si="12"/>
        <v>1.35</v>
      </c>
      <c r="E73" s="73">
        <f>[4]Г_У!$I$12</f>
        <v>1.2</v>
      </c>
      <c r="F73" s="48" t="e">
        <f t="shared" ref="F73:F83" si="16">ROUND(($F$9*E73)*D73,2)</f>
        <v>#REF!</v>
      </c>
      <c r="G73" s="50" t="e">
        <f t="shared" si="13"/>
        <v>#REF!</v>
      </c>
      <c r="H73" s="51" t="s">
        <v>15</v>
      </c>
      <c r="I73" s="51" t="s">
        <v>15</v>
      </c>
      <c r="J73" s="51" t="s">
        <v>15</v>
      </c>
      <c r="K73" s="51" t="s">
        <v>15</v>
      </c>
      <c r="L73" s="51" t="s">
        <v>15</v>
      </c>
      <c r="M73" s="83"/>
      <c r="N73" s="53" t="e">
        <f>(G73*$F$14)*M73</f>
        <v>#REF!</v>
      </c>
      <c r="O73" s="54">
        <f t="shared" si="3"/>
        <v>0</v>
      </c>
      <c r="P73" s="50" t="e">
        <f>ROUND(N73*O73,2)</f>
        <v>#REF!</v>
      </c>
      <c r="Q73" s="82" t="e">
        <f>P73+N73</f>
        <v>#REF!</v>
      </c>
      <c r="R73" s="10" t="e">
        <f t="shared" si="14"/>
        <v>#REF!</v>
      </c>
      <c r="S73" s="56" t="e">
        <f t="shared" si="15"/>
        <v>#REF!</v>
      </c>
    </row>
    <row r="74" spans="1:19" hidden="1" outlineLevel="1">
      <c r="A74" s="45"/>
      <c r="B74" s="77" t="s">
        <v>200</v>
      </c>
      <c r="C74" s="47">
        <v>3</v>
      </c>
      <c r="D74" s="62">
        <f t="shared" si="12"/>
        <v>1.2</v>
      </c>
      <c r="E74" s="73">
        <f>[4]Г_У!$I$12</f>
        <v>1.2</v>
      </c>
      <c r="F74" s="48" t="e">
        <f t="shared" si="16"/>
        <v>#REF!</v>
      </c>
      <c r="G74" s="50" t="e">
        <f t="shared" si="13"/>
        <v>#REF!</v>
      </c>
      <c r="H74" s="51" t="s">
        <v>15</v>
      </c>
      <c r="I74" s="51" t="s">
        <v>15</v>
      </c>
      <c r="J74" s="51" t="s">
        <v>15</v>
      </c>
      <c r="K74" s="51" t="s">
        <v>15</v>
      </c>
      <c r="L74" s="51" t="s">
        <v>15</v>
      </c>
      <c r="M74" s="83"/>
      <c r="N74" s="53" t="e">
        <f>(G74*$F$14)*M74</f>
        <v>#REF!</v>
      </c>
      <c r="O74" s="54">
        <f t="shared" si="3"/>
        <v>0</v>
      </c>
      <c r="P74" s="50" t="e">
        <f>ROUND(N74*O74,2)</f>
        <v>#REF!</v>
      </c>
      <c r="Q74" s="82" t="e">
        <f>P74+N74</f>
        <v>#REF!</v>
      </c>
      <c r="R74" s="10" t="e">
        <f t="shared" si="14"/>
        <v>#REF!</v>
      </c>
      <c r="S74" s="56" t="e">
        <f t="shared" si="15"/>
        <v>#REF!</v>
      </c>
    </row>
    <row r="75" spans="1:19" hidden="1" outlineLevel="1" collapsed="1">
      <c r="A75" s="45"/>
      <c r="B75" s="77" t="s">
        <v>201</v>
      </c>
      <c r="C75" s="47">
        <v>4</v>
      </c>
      <c r="D75" s="62">
        <f t="shared" si="12"/>
        <v>1.35</v>
      </c>
      <c r="E75" s="73">
        <f>[4]Г_У!$I$12</f>
        <v>1.2</v>
      </c>
      <c r="F75" s="48" t="e">
        <f t="shared" si="16"/>
        <v>#REF!</v>
      </c>
      <c r="G75" s="50" t="e">
        <f t="shared" si="13"/>
        <v>#REF!</v>
      </c>
      <c r="H75" s="51" t="s">
        <v>15</v>
      </c>
      <c r="I75" s="51" t="s">
        <v>15</v>
      </c>
      <c r="J75" s="51" t="s">
        <v>15</v>
      </c>
      <c r="K75" s="51" t="s">
        <v>15</v>
      </c>
      <c r="L75" s="51" t="s">
        <v>15</v>
      </c>
      <c r="M75" s="83"/>
      <c r="N75" s="53" t="e">
        <f>(G75*$F$14)*M75</f>
        <v>#REF!</v>
      </c>
      <c r="O75" s="54">
        <f t="shared" si="3"/>
        <v>0</v>
      </c>
      <c r="P75" s="50" t="e">
        <f>ROUND(N75*O75,2)</f>
        <v>#REF!</v>
      </c>
      <c r="Q75" s="82" t="e">
        <f>P75+N75</f>
        <v>#REF!</v>
      </c>
      <c r="R75" s="10" t="e">
        <f t="shared" si="14"/>
        <v>#REF!</v>
      </c>
      <c r="S75" s="56" t="e">
        <f t="shared" si="15"/>
        <v>#REF!</v>
      </c>
    </row>
    <row r="76" spans="1:19" hidden="1" outlineLevel="1">
      <c r="A76" s="45"/>
      <c r="B76" s="77" t="s">
        <v>201</v>
      </c>
      <c r="C76" s="47">
        <v>3</v>
      </c>
      <c r="D76" s="62">
        <f t="shared" si="12"/>
        <v>1.2</v>
      </c>
      <c r="E76" s="73">
        <f>[4]Г_У!$I$12</f>
        <v>1.2</v>
      </c>
      <c r="F76" s="48" t="e">
        <f t="shared" si="16"/>
        <v>#REF!</v>
      </c>
      <c r="G76" s="50" t="e">
        <f t="shared" si="13"/>
        <v>#REF!</v>
      </c>
      <c r="H76" s="51" t="s">
        <v>15</v>
      </c>
      <c r="I76" s="51" t="s">
        <v>15</v>
      </c>
      <c r="J76" s="51" t="s">
        <v>15</v>
      </c>
      <c r="K76" s="51" t="s">
        <v>15</v>
      </c>
      <c r="L76" s="51" t="s">
        <v>15</v>
      </c>
      <c r="M76" s="83"/>
      <c r="N76" s="53" t="e">
        <f>(G76*$F$14)*M76</f>
        <v>#REF!</v>
      </c>
      <c r="O76" s="54">
        <f t="shared" si="3"/>
        <v>0</v>
      </c>
      <c r="P76" s="50" t="e">
        <f>ROUND(N76*O76,2)</f>
        <v>#REF!</v>
      </c>
      <c r="Q76" s="82" t="e">
        <f>P76+N76</f>
        <v>#REF!</v>
      </c>
      <c r="R76" s="10" t="e">
        <f t="shared" si="14"/>
        <v>#REF!</v>
      </c>
      <c r="S76" s="56" t="e">
        <f t="shared" si="15"/>
        <v>#REF!</v>
      </c>
    </row>
    <row r="77" spans="1:19" hidden="1" outlineLevel="1">
      <c r="A77" s="45"/>
      <c r="B77" s="77" t="s">
        <v>202</v>
      </c>
      <c r="C77" s="47">
        <v>3</v>
      </c>
      <c r="D77" s="62">
        <f t="shared" si="12"/>
        <v>1.2</v>
      </c>
      <c r="E77" s="73">
        <f>[4]Г_У!$I$12</f>
        <v>1.2</v>
      </c>
      <c r="F77" s="48" t="e">
        <f t="shared" si="16"/>
        <v>#REF!</v>
      </c>
      <c r="G77" s="50" t="e">
        <f t="shared" si="13"/>
        <v>#REF!</v>
      </c>
      <c r="H77" s="51" t="s">
        <v>15</v>
      </c>
      <c r="I77" s="51" t="s">
        <v>15</v>
      </c>
      <c r="J77" s="51" t="s">
        <v>15</v>
      </c>
      <c r="K77" s="51" t="s">
        <v>15</v>
      </c>
      <c r="L77" s="51" t="s">
        <v>15</v>
      </c>
      <c r="M77" s="83"/>
      <c r="N77" s="53" t="e">
        <f>(G77*$F$14)*M77</f>
        <v>#REF!</v>
      </c>
      <c r="O77" s="54">
        <f t="shared" si="3"/>
        <v>0</v>
      </c>
      <c r="P77" s="50" t="e">
        <f>ROUND(N77*O77,2)</f>
        <v>#REF!</v>
      </c>
      <c r="Q77" s="82" t="e">
        <f>P77+N77</f>
        <v>#REF!</v>
      </c>
      <c r="R77" s="10" t="e">
        <f t="shared" si="14"/>
        <v>#REF!</v>
      </c>
      <c r="S77" s="56" t="e">
        <f t="shared" si="15"/>
        <v>#REF!</v>
      </c>
    </row>
    <row r="78" spans="1:19" hidden="1" outlineLevel="1">
      <c r="A78" s="45"/>
      <c r="B78" s="77" t="s">
        <v>203</v>
      </c>
      <c r="C78" s="47">
        <v>3</v>
      </c>
      <c r="D78" s="62">
        <f t="shared" si="12"/>
        <v>1.2</v>
      </c>
      <c r="E78" s="73">
        <f>[4]Г_У!$I$12</f>
        <v>1.2</v>
      </c>
      <c r="F78" s="48" t="e">
        <f t="shared" si="16"/>
        <v>#REF!</v>
      </c>
      <c r="G78" s="50" t="e">
        <f t="shared" si="13"/>
        <v>#REF!</v>
      </c>
      <c r="H78" s="51"/>
      <c r="I78" s="51"/>
      <c r="J78" s="51"/>
      <c r="K78" s="51"/>
      <c r="L78" s="51"/>
      <c r="M78" s="84"/>
      <c r="N78" s="53">
        <v>0</v>
      </c>
      <c r="O78" s="54">
        <f t="shared" si="3"/>
        <v>0</v>
      </c>
      <c r="P78" s="50"/>
      <c r="Q78" s="82"/>
      <c r="R78" s="10" t="e">
        <f t="shared" si="14"/>
        <v>#REF!</v>
      </c>
      <c r="S78" s="56" t="e">
        <f t="shared" si="15"/>
        <v>#REF!</v>
      </c>
    </row>
    <row r="79" spans="1:19" hidden="1" outlineLevel="1">
      <c r="A79" s="45"/>
      <c r="B79" s="78" t="s">
        <v>192</v>
      </c>
      <c r="C79" s="47">
        <v>3</v>
      </c>
      <c r="D79" s="62">
        <f t="shared" si="12"/>
        <v>1.2</v>
      </c>
      <c r="E79" s="73">
        <f>[4]Г_У!$I$12</f>
        <v>1.2</v>
      </c>
      <c r="F79" s="48" t="e">
        <f t="shared" si="16"/>
        <v>#REF!</v>
      </c>
      <c r="G79" s="50" t="e">
        <f t="shared" si="13"/>
        <v>#REF!</v>
      </c>
      <c r="H79" s="51" t="s">
        <v>15</v>
      </c>
      <c r="I79" s="51" t="s">
        <v>15</v>
      </c>
      <c r="J79" s="51" t="s">
        <v>15</v>
      </c>
      <c r="K79" s="51" t="s">
        <v>15</v>
      </c>
      <c r="L79" s="51" t="s">
        <v>15</v>
      </c>
      <c r="M79" s="83"/>
      <c r="N79" s="53" t="e">
        <f>(G79*$F$14)*M79</f>
        <v>#REF!</v>
      </c>
      <c r="O79" s="54">
        <f t="shared" si="3"/>
        <v>0</v>
      </c>
      <c r="P79" s="50" t="e">
        <f>ROUND(N79*O79,2)</f>
        <v>#REF!</v>
      </c>
      <c r="Q79" s="82" t="e">
        <f>P79+N79</f>
        <v>#REF!</v>
      </c>
      <c r="R79" s="10" t="e">
        <f t="shared" si="14"/>
        <v>#REF!</v>
      </c>
      <c r="S79" s="56" t="e">
        <f t="shared" si="15"/>
        <v>#REF!</v>
      </c>
    </row>
    <row r="80" spans="1:19" hidden="1" outlineLevel="1">
      <c r="A80" s="45"/>
      <c r="B80" s="46" t="s">
        <v>204</v>
      </c>
      <c r="C80" s="47">
        <v>3</v>
      </c>
      <c r="D80" s="62">
        <f t="shared" si="12"/>
        <v>1.2</v>
      </c>
      <c r="E80" s="48">
        <v>1.2</v>
      </c>
      <c r="F80" s="48" t="e">
        <f t="shared" si="16"/>
        <v>#REF!</v>
      </c>
      <c r="G80" s="60" t="e">
        <f t="shared" si="13"/>
        <v>#REF!</v>
      </c>
      <c r="H80" s="71"/>
      <c r="I80" s="71"/>
      <c r="J80" s="72"/>
      <c r="K80" s="71"/>
      <c r="L80" s="71"/>
      <c r="M80" s="83"/>
      <c r="N80" s="53"/>
      <c r="O80" s="54">
        <f t="shared" si="3"/>
        <v>0</v>
      </c>
      <c r="P80" s="50"/>
      <c r="Q80" s="55"/>
      <c r="R80" s="10" t="e">
        <f t="shared" si="14"/>
        <v>#REF!</v>
      </c>
      <c r="S80" s="56" t="e">
        <f t="shared" si="15"/>
        <v>#REF!</v>
      </c>
    </row>
    <row r="81" spans="1:19" hidden="1" outlineLevel="1">
      <c r="A81" s="45"/>
      <c r="B81" s="46" t="s">
        <v>205</v>
      </c>
      <c r="C81" s="47">
        <v>3</v>
      </c>
      <c r="D81" s="62">
        <f t="shared" si="12"/>
        <v>1.2</v>
      </c>
      <c r="E81" s="48">
        <v>1.2</v>
      </c>
      <c r="F81" s="48" t="e">
        <f t="shared" si="16"/>
        <v>#REF!</v>
      </c>
      <c r="G81" s="60" t="e">
        <f t="shared" si="13"/>
        <v>#REF!</v>
      </c>
      <c r="H81" s="71"/>
      <c r="I81" s="71"/>
      <c r="J81" s="85"/>
      <c r="K81" s="71"/>
      <c r="L81" s="71"/>
      <c r="M81" s="83"/>
      <c r="N81" s="53"/>
      <c r="O81" s="54">
        <f t="shared" si="3"/>
        <v>0</v>
      </c>
      <c r="P81" s="50"/>
      <c r="Q81" s="82"/>
      <c r="R81" s="10" t="e">
        <f t="shared" si="14"/>
        <v>#REF!</v>
      </c>
      <c r="S81" s="56" t="e">
        <f t="shared" si="15"/>
        <v>#REF!</v>
      </c>
    </row>
    <row r="82" spans="1:19" ht="15" hidden="1" outlineLevel="1">
      <c r="A82" s="45"/>
      <c r="B82" s="86" t="s">
        <v>206</v>
      </c>
      <c r="C82" s="47">
        <v>4</v>
      </c>
      <c r="D82" s="62">
        <f t="shared" si="12"/>
        <v>1.35</v>
      </c>
      <c r="E82" s="48">
        <v>1.2</v>
      </c>
      <c r="F82" s="48" t="e">
        <f t="shared" si="16"/>
        <v>#REF!</v>
      </c>
      <c r="G82" s="60" t="e">
        <f t="shared" si="13"/>
        <v>#REF!</v>
      </c>
      <c r="H82" s="71"/>
      <c r="I82" s="71"/>
      <c r="J82" s="72"/>
      <c r="K82" s="71"/>
      <c r="L82" s="87" t="e">
        <f>F82*$F$19</f>
        <v>#REF!</v>
      </c>
      <c r="M82" s="83"/>
      <c r="N82" s="53" t="e">
        <f>((G82*$F$20)+I82+K82+L82)*M82</f>
        <v>#REF!</v>
      </c>
      <c r="O82" s="54">
        <f t="shared" si="3"/>
        <v>0</v>
      </c>
      <c r="P82" s="50" t="e">
        <f>ROUND(N82*O82,2)</f>
        <v>#REF!</v>
      </c>
      <c r="Q82" s="82" t="e">
        <f>P82+N82</f>
        <v>#REF!</v>
      </c>
      <c r="R82" s="10" t="e">
        <f t="shared" si="14"/>
        <v>#REF!</v>
      </c>
      <c r="S82" s="56" t="e">
        <f t="shared" si="15"/>
        <v>#REF!</v>
      </c>
    </row>
    <row r="83" spans="1:19" ht="15" hidden="1" outlineLevel="1">
      <c r="A83" s="45"/>
      <c r="B83" s="86" t="s">
        <v>206</v>
      </c>
      <c r="C83" s="47">
        <v>3</v>
      </c>
      <c r="D83" s="62">
        <f t="shared" si="12"/>
        <v>1.2</v>
      </c>
      <c r="E83" s="48">
        <v>1.2</v>
      </c>
      <c r="F83" s="48" t="e">
        <f t="shared" si="16"/>
        <v>#REF!</v>
      </c>
      <c r="G83" s="60" t="e">
        <f t="shared" si="13"/>
        <v>#REF!</v>
      </c>
      <c r="H83" s="71"/>
      <c r="I83" s="71"/>
      <c r="J83" s="72"/>
      <c r="K83" s="71"/>
      <c r="L83" s="87" t="e">
        <f>F83*$F$19</f>
        <v>#REF!</v>
      </c>
      <c r="M83" s="83"/>
      <c r="N83" s="53"/>
      <c r="O83" s="54">
        <f t="shared" si="3"/>
        <v>0</v>
      </c>
      <c r="P83" s="50"/>
      <c r="Q83" s="82"/>
      <c r="R83" s="10" t="e">
        <f t="shared" si="14"/>
        <v>#REF!</v>
      </c>
      <c r="S83" s="56" t="e">
        <f t="shared" si="15"/>
        <v>#REF!</v>
      </c>
    </row>
    <row r="84" spans="1:19" ht="15" hidden="1" outlineLevel="1">
      <c r="A84" s="45"/>
      <c r="B84" s="86" t="s">
        <v>207</v>
      </c>
      <c r="C84" s="47"/>
      <c r="D84" s="48"/>
      <c r="E84" s="48"/>
      <c r="F84" s="48" t="e">
        <f>F5</f>
        <v>#REF!</v>
      </c>
      <c r="G84" s="60" t="e">
        <f t="shared" si="13"/>
        <v>#REF!</v>
      </c>
      <c r="H84" s="51" t="s">
        <v>15</v>
      </c>
      <c r="I84" s="51" t="s">
        <v>15</v>
      </c>
      <c r="J84" s="51" t="s">
        <v>15</v>
      </c>
      <c r="K84" s="51" t="s">
        <v>15</v>
      </c>
      <c r="L84" s="51" t="s">
        <v>15</v>
      </c>
      <c r="M84" s="83"/>
      <c r="N84" s="53" t="e">
        <f>(G84*$F$14)*M84</f>
        <v>#REF!</v>
      </c>
      <c r="O84" s="54">
        <f t="shared" si="3"/>
        <v>0</v>
      </c>
      <c r="P84" s="50" t="e">
        <f t="shared" ref="P84:P92" si="17">ROUND(N84*O84,2)</f>
        <v>#REF!</v>
      </c>
      <c r="Q84" s="88" t="e">
        <f t="shared" ref="Q84:Q92" si="18">P84+N84</f>
        <v>#REF!</v>
      </c>
      <c r="R84" s="10" t="e">
        <f t="shared" si="14"/>
        <v>#REF!</v>
      </c>
      <c r="S84" s="56" t="e">
        <f t="shared" si="15"/>
        <v>#REF!</v>
      </c>
    </row>
    <row r="85" spans="1:19" ht="30" hidden="1" outlineLevel="1">
      <c r="A85" s="45"/>
      <c r="B85" s="89" t="s">
        <v>208</v>
      </c>
      <c r="C85" s="47"/>
      <c r="D85" s="48">
        <v>1</v>
      </c>
      <c r="E85" s="48">
        <v>1.35</v>
      </c>
      <c r="F85" s="48" t="e">
        <f>ROUND(($F$12*E85)*D85,2)</f>
        <v>#REF!</v>
      </c>
      <c r="G85" s="50" t="e">
        <f t="shared" si="13"/>
        <v>#REF!</v>
      </c>
      <c r="H85" s="51" t="s">
        <v>15</v>
      </c>
      <c r="I85" s="51" t="s">
        <v>15</v>
      </c>
      <c r="J85" s="51" t="s">
        <v>15</v>
      </c>
      <c r="K85" s="51" t="s">
        <v>15</v>
      </c>
      <c r="L85" s="51" t="s">
        <v>15</v>
      </c>
      <c r="M85" s="83"/>
      <c r="N85" s="53" t="e">
        <f>(G85*$F$14)*M85</f>
        <v>#REF!</v>
      </c>
      <c r="O85" s="54">
        <f t="shared" si="3"/>
        <v>0</v>
      </c>
      <c r="P85" s="50" t="e">
        <f t="shared" si="17"/>
        <v>#REF!</v>
      </c>
      <c r="Q85" s="82" t="e">
        <f t="shared" si="18"/>
        <v>#REF!</v>
      </c>
      <c r="R85" s="10" t="e">
        <f t="shared" si="14"/>
        <v>#REF!</v>
      </c>
      <c r="S85" s="56" t="e">
        <f t="shared" si="15"/>
        <v>#REF!</v>
      </c>
    </row>
    <row r="86" spans="1:19" ht="15" hidden="1" outlineLevel="1">
      <c r="A86" s="45"/>
      <c r="B86" s="86" t="s">
        <v>209</v>
      </c>
      <c r="C86" s="47"/>
      <c r="D86" s="48">
        <v>1</v>
      </c>
      <c r="E86" s="48">
        <v>1.8</v>
      </c>
      <c r="F86" s="48" t="e">
        <f>ROUND(($F$11*E86)*D86,2)</f>
        <v>#REF!</v>
      </c>
      <c r="G86" s="60" t="e">
        <f t="shared" si="13"/>
        <v>#REF!</v>
      </c>
      <c r="H86" s="71" t="e">
        <f>G86*$F$18</f>
        <v>#REF!</v>
      </c>
      <c r="I86" s="71" t="e">
        <f>H86*$F$15</f>
        <v>#REF!</v>
      </c>
      <c r="J86" s="85">
        <v>13</v>
      </c>
      <c r="K86" s="71" t="e">
        <f>G86*$F$16</f>
        <v>#REF!</v>
      </c>
      <c r="L86" s="71"/>
      <c r="M86" s="83"/>
      <c r="N86" s="53" t="e">
        <f>((G86*$F$20)+I86+K86+L86)*M86</f>
        <v>#REF!</v>
      </c>
      <c r="O86" s="54">
        <f t="shared" si="3"/>
        <v>0</v>
      </c>
      <c r="P86" s="50" t="e">
        <f t="shared" si="17"/>
        <v>#REF!</v>
      </c>
      <c r="Q86" s="82" t="e">
        <f t="shared" si="18"/>
        <v>#REF!</v>
      </c>
      <c r="R86" s="10" t="e">
        <f t="shared" si="14"/>
        <v>#REF!</v>
      </c>
      <c r="S86" s="56" t="e">
        <f t="shared" si="15"/>
        <v>#REF!</v>
      </c>
    </row>
    <row r="87" spans="1:19" ht="15" hidden="1" outlineLevel="1">
      <c r="A87" s="45"/>
      <c r="B87" s="86" t="s">
        <v>210</v>
      </c>
      <c r="C87" s="47"/>
      <c r="D87" s="48">
        <v>1</v>
      </c>
      <c r="E87" s="48">
        <v>2.35</v>
      </c>
      <c r="F87" s="48" t="e">
        <f>ROUND(($F$11*E87)*D87,2)</f>
        <v>#REF!</v>
      </c>
      <c r="G87" s="60" t="e">
        <f t="shared" si="13"/>
        <v>#REF!</v>
      </c>
      <c r="H87" s="51" t="s">
        <v>15</v>
      </c>
      <c r="I87" s="51" t="s">
        <v>15</v>
      </c>
      <c r="J87" s="51" t="s">
        <v>15</v>
      </c>
      <c r="K87" s="51" t="s">
        <v>15</v>
      </c>
      <c r="L87" s="51" t="s">
        <v>15</v>
      </c>
      <c r="M87" s="83"/>
      <c r="N87" s="53" t="e">
        <f t="shared" ref="N87:N93" si="19">(G87*$F$14)*M87</f>
        <v>#REF!</v>
      </c>
      <c r="O87" s="54">
        <f t="shared" si="3"/>
        <v>0</v>
      </c>
      <c r="P87" s="50" t="e">
        <f t="shared" si="17"/>
        <v>#REF!</v>
      </c>
      <c r="Q87" s="82" t="e">
        <f t="shared" si="18"/>
        <v>#REF!</v>
      </c>
      <c r="R87" s="10" t="e">
        <f t="shared" si="14"/>
        <v>#REF!</v>
      </c>
      <c r="S87" s="56" t="e">
        <f t="shared" si="15"/>
        <v>#REF!</v>
      </c>
    </row>
    <row r="88" spans="1:19" ht="15" hidden="1" outlineLevel="1">
      <c r="A88" s="45"/>
      <c r="B88" s="86" t="s">
        <v>211</v>
      </c>
      <c r="C88" s="47"/>
      <c r="D88" s="48">
        <v>1</v>
      </c>
      <c r="E88" s="48">
        <v>2.35</v>
      </c>
      <c r="F88" s="48" t="e">
        <f>ROUND(($F$11*E88)*D88,2)</f>
        <v>#REF!</v>
      </c>
      <c r="G88" s="60" t="e">
        <f>ROUND(F88/$F$14,2)</f>
        <v>#REF!</v>
      </c>
      <c r="H88" s="51" t="s">
        <v>15</v>
      </c>
      <c r="I88" s="51" t="s">
        <v>15</v>
      </c>
      <c r="J88" s="51" t="s">
        <v>15</v>
      </c>
      <c r="K88" s="51" t="s">
        <v>15</v>
      </c>
      <c r="L88" s="51" t="s">
        <v>15</v>
      </c>
      <c r="M88" s="83"/>
      <c r="N88" s="53" t="e">
        <f t="shared" si="19"/>
        <v>#REF!</v>
      </c>
      <c r="O88" s="54">
        <f t="shared" si="3"/>
        <v>0</v>
      </c>
      <c r="P88" s="50" t="e">
        <f t="shared" si="17"/>
        <v>#REF!</v>
      </c>
      <c r="Q88" s="82" t="e">
        <f t="shared" si="18"/>
        <v>#REF!</v>
      </c>
      <c r="R88" s="10" t="e">
        <f t="shared" si="14"/>
        <v>#REF!</v>
      </c>
      <c r="S88" s="56" t="e">
        <f t="shared" si="15"/>
        <v>#REF!</v>
      </c>
    </row>
    <row r="89" spans="1:19" ht="30" hidden="1" outlineLevel="1">
      <c r="A89" s="45"/>
      <c r="B89" s="86" t="s">
        <v>212</v>
      </c>
      <c r="C89" s="47"/>
      <c r="D89" s="48">
        <v>1</v>
      </c>
      <c r="E89" s="48">
        <v>1.5</v>
      </c>
      <c r="F89" s="48" t="e">
        <f>ROUND(($F$12*E89)*D89,2)</f>
        <v>#REF!</v>
      </c>
      <c r="G89" s="50" t="e">
        <f>ROUND(F89/$F$14,2)</f>
        <v>#REF!</v>
      </c>
      <c r="H89" s="51" t="s">
        <v>15</v>
      </c>
      <c r="I89" s="51" t="s">
        <v>15</v>
      </c>
      <c r="J89" s="51" t="s">
        <v>15</v>
      </c>
      <c r="K89" s="51" t="s">
        <v>15</v>
      </c>
      <c r="L89" s="51" t="s">
        <v>15</v>
      </c>
      <c r="M89" s="83"/>
      <c r="N89" s="53" t="e">
        <f t="shared" si="19"/>
        <v>#REF!</v>
      </c>
      <c r="O89" s="54">
        <f t="shared" si="3"/>
        <v>0</v>
      </c>
      <c r="P89" s="50" t="e">
        <f t="shared" si="17"/>
        <v>#REF!</v>
      </c>
      <c r="Q89" s="82" t="e">
        <f t="shared" si="18"/>
        <v>#REF!</v>
      </c>
      <c r="R89" s="10" t="e">
        <f t="shared" si="14"/>
        <v>#REF!</v>
      </c>
      <c r="S89" s="56" t="e">
        <f t="shared" si="15"/>
        <v>#REF!</v>
      </c>
    </row>
    <row r="90" spans="1:19" ht="15" hidden="1" outlineLevel="1">
      <c r="A90" s="45"/>
      <c r="B90" s="86" t="s">
        <v>213</v>
      </c>
      <c r="C90" s="47"/>
      <c r="D90" s="48">
        <v>1</v>
      </c>
      <c r="E90" s="48">
        <v>2.8</v>
      </c>
      <c r="F90" s="48" t="e">
        <f>ROUND(($F$11*E90)*D90,2)</f>
        <v>#REF!</v>
      </c>
      <c r="G90" s="50" t="e">
        <f t="shared" ref="G90:G102" si="20">ROUND(F90/$F$14,2)</f>
        <v>#REF!</v>
      </c>
      <c r="H90" s="51" t="s">
        <v>15</v>
      </c>
      <c r="I90" s="51" t="s">
        <v>15</v>
      </c>
      <c r="J90" s="51" t="s">
        <v>15</v>
      </c>
      <c r="K90" s="51" t="s">
        <v>15</v>
      </c>
      <c r="L90" s="51" t="s">
        <v>15</v>
      </c>
      <c r="M90" s="83"/>
      <c r="N90" s="53" t="e">
        <f t="shared" si="19"/>
        <v>#REF!</v>
      </c>
      <c r="O90" s="54">
        <f t="shared" si="3"/>
        <v>0</v>
      </c>
      <c r="P90" s="50" t="e">
        <f t="shared" si="17"/>
        <v>#REF!</v>
      </c>
      <c r="Q90" s="82" t="e">
        <f t="shared" si="18"/>
        <v>#REF!</v>
      </c>
      <c r="R90" s="10" t="e">
        <f t="shared" si="14"/>
        <v>#REF!</v>
      </c>
      <c r="S90" s="56" t="e">
        <f t="shared" si="15"/>
        <v>#REF!</v>
      </c>
    </row>
    <row r="91" spans="1:19" ht="15" hidden="1" outlineLevel="1">
      <c r="A91" s="45"/>
      <c r="B91" s="86" t="s">
        <v>214</v>
      </c>
      <c r="C91" s="47"/>
      <c r="D91" s="48">
        <v>1</v>
      </c>
      <c r="E91" s="48">
        <v>2.23</v>
      </c>
      <c r="F91" s="48" t="e">
        <f>ROUND(($F$11*E91)*D91,2)</f>
        <v>#REF!</v>
      </c>
      <c r="G91" s="50" t="e">
        <f t="shared" si="20"/>
        <v>#REF!</v>
      </c>
      <c r="H91" s="51" t="s">
        <v>15</v>
      </c>
      <c r="I91" s="51" t="s">
        <v>15</v>
      </c>
      <c r="J91" s="51" t="s">
        <v>15</v>
      </c>
      <c r="K91" s="51" t="s">
        <v>15</v>
      </c>
      <c r="L91" s="51" t="s">
        <v>15</v>
      </c>
      <c r="M91" s="83"/>
      <c r="N91" s="53" t="e">
        <f t="shared" si="19"/>
        <v>#REF!</v>
      </c>
      <c r="O91" s="54">
        <f t="shared" si="3"/>
        <v>0</v>
      </c>
      <c r="P91" s="50" t="e">
        <f t="shared" si="17"/>
        <v>#REF!</v>
      </c>
      <c r="Q91" s="82" t="e">
        <f t="shared" si="18"/>
        <v>#REF!</v>
      </c>
      <c r="R91" s="10" t="e">
        <f t="shared" si="14"/>
        <v>#REF!</v>
      </c>
      <c r="S91" s="56" t="e">
        <f t="shared" si="15"/>
        <v>#REF!</v>
      </c>
    </row>
    <row r="92" spans="1:19" ht="30" hidden="1" outlineLevel="1">
      <c r="A92" s="45"/>
      <c r="B92" s="86" t="s">
        <v>215</v>
      </c>
      <c r="C92" s="47"/>
      <c r="D92" s="48">
        <v>1</v>
      </c>
      <c r="E92" s="48">
        <v>2.23</v>
      </c>
      <c r="F92" s="48" t="e">
        <f>ROUND(($F$11*E92)*D92,2)</f>
        <v>#REF!</v>
      </c>
      <c r="G92" s="50" t="e">
        <f t="shared" si="20"/>
        <v>#REF!</v>
      </c>
      <c r="H92" s="51" t="s">
        <v>15</v>
      </c>
      <c r="I92" s="51" t="s">
        <v>15</v>
      </c>
      <c r="J92" s="51" t="s">
        <v>15</v>
      </c>
      <c r="K92" s="51" t="s">
        <v>15</v>
      </c>
      <c r="L92" s="51" t="s">
        <v>15</v>
      </c>
      <c r="M92" s="83"/>
      <c r="N92" s="53" t="e">
        <f t="shared" si="19"/>
        <v>#REF!</v>
      </c>
      <c r="O92" s="54">
        <f t="shared" si="3"/>
        <v>0</v>
      </c>
      <c r="P92" s="50" t="e">
        <f t="shared" si="17"/>
        <v>#REF!</v>
      </c>
      <c r="Q92" s="82" t="e">
        <f t="shared" si="18"/>
        <v>#REF!</v>
      </c>
      <c r="R92" s="10" t="e">
        <f t="shared" si="14"/>
        <v>#REF!</v>
      </c>
      <c r="S92" s="56" t="e">
        <f t="shared" si="15"/>
        <v>#REF!</v>
      </c>
    </row>
    <row r="93" spans="1:19" ht="15" hidden="1" outlineLevel="1">
      <c r="A93" s="45"/>
      <c r="B93" s="86" t="s">
        <v>216</v>
      </c>
      <c r="C93" s="47"/>
      <c r="D93" s="48">
        <v>1</v>
      </c>
      <c r="E93" s="48">
        <v>1.67</v>
      </c>
      <c r="F93" s="48" t="e">
        <f>ROUND(($F$11*E93)*D93,2)</f>
        <v>#REF!</v>
      </c>
      <c r="G93" s="50" t="e">
        <f t="shared" si="20"/>
        <v>#REF!</v>
      </c>
      <c r="H93" s="51"/>
      <c r="I93" s="51"/>
      <c r="J93" s="51"/>
      <c r="K93" s="51"/>
      <c r="L93" s="51"/>
      <c r="M93" s="83"/>
      <c r="N93" s="53" t="e">
        <f t="shared" si="19"/>
        <v>#REF!</v>
      </c>
      <c r="O93" s="54">
        <f t="shared" si="3"/>
        <v>0</v>
      </c>
      <c r="P93" s="50"/>
      <c r="Q93" s="82"/>
      <c r="R93" s="10" t="e">
        <f t="shared" si="14"/>
        <v>#REF!</v>
      </c>
      <c r="S93" s="56" t="e">
        <f t="shared" si="15"/>
        <v>#REF!</v>
      </c>
    </row>
    <row r="94" spans="1:19" ht="15" hidden="1" outlineLevel="1">
      <c r="A94" s="45"/>
      <c r="B94" s="86" t="s">
        <v>170</v>
      </c>
      <c r="C94" s="47"/>
      <c r="D94" s="48">
        <v>1</v>
      </c>
      <c r="E94" s="48">
        <v>1.67</v>
      </c>
      <c r="F94" s="48" t="e">
        <f>ROUND(($F$11*E94)*D94,2)</f>
        <v>#REF!</v>
      </c>
      <c r="G94" s="50" t="e">
        <f t="shared" si="20"/>
        <v>#REF!</v>
      </c>
      <c r="H94" s="51"/>
      <c r="I94" s="51"/>
      <c r="J94" s="51"/>
      <c r="K94" s="51"/>
      <c r="L94" s="51"/>
      <c r="M94" s="83"/>
      <c r="N94" s="53"/>
      <c r="O94" s="54">
        <f t="shared" si="3"/>
        <v>0</v>
      </c>
      <c r="P94" s="50"/>
      <c r="Q94" s="82"/>
      <c r="R94" s="10" t="e">
        <f t="shared" si="14"/>
        <v>#REF!</v>
      </c>
      <c r="S94" s="56" t="e">
        <f t="shared" si="15"/>
        <v>#REF!</v>
      </c>
    </row>
    <row r="95" spans="1:19" ht="15" hidden="1" outlineLevel="1">
      <c r="A95" s="45"/>
      <c r="B95" s="86" t="s">
        <v>217</v>
      </c>
      <c r="C95" s="47"/>
      <c r="D95" s="48">
        <v>1</v>
      </c>
      <c r="E95" s="48">
        <v>1.5</v>
      </c>
      <c r="F95" s="48" t="e">
        <f>ROUND(($F$12*E95)*D95,2)</f>
        <v>#REF!</v>
      </c>
      <c r="G95" s="50" t="e">
        <f t="shared" si="20"/>
        <v>#REF!</v>
      </c>
      <c r="H95" s="51" t="s">
        <v>15</v>
      </c>
      <c r="I95" s="51" t="s">
        <v>15</v>
      </c>
      <c r="J95" s="51" t="s">
        <v>15</v>
      </c>
      <c r="K95" s="51" t="s">
        <v>15</v>
      </c>
      <c r="L95" s="51" t="s">
        <v>15</v>
      </c>
      <c r="M95" s="83"/>
      <c r="N95" s="53" t="e">
        <f>(G95*$F$14)*M95</f>
        <v>#REF!</v>
      </c>
      <c r="O95" s="54">
        <f t="shared" si="3"/>
        <v>0</v>
      </c>
      <c r="P95" s="50" t="e">
        <f>ROUND(N95*O95,2)</f>
        <v>#REF!</v>
      </c>
      <c r="Q95" s="82" t="e">
        <f>P95+N95</f>
        <v>#REF!</v>
      </c>
      <c r="R95" s="10" t="e">
        <f t="shared" si="14"/>
        <v>#REF!</v>
      </c>
      <c r="S95" s="56" t="e">
        <f t="shared" si="15"/>
        <v>#REF!</v>
      </c>
    </row>
    <row r="96" spans="1:19" ht="15" hidden="1" outlineLevel="1">
      <c r="A96" s="45"/>
      <c r="B96" s="86" t="s">
        <v>218</v>
      </c>
      <c r="C96" s="47"/>
      <c r="D96" s="48">
        <v>1</v>
      </c>
      <c r="E96" s="48">
        <v>1.5</v>
      </c>
      <c r="F96" s="48" t="e">
        <f>ROUND(($F$12*E96)*D96,2)</f>
        <v>#REF!</v>
      </c>
      <c r="G96" s="50" t="e">
        <f t="shared" si="20"/>
        <v>#REF!</v>
      </c>
      <c r="H96" s="51"/>
      <c r="I96" s="51"/>
      <c r="J96" s="51"/>
      <c r="K96" s="51"/>
      <c r="L96" s="51"/>
      <c r="M96" s="83"/>
      <c r="N96" s="53" t="e">
        <f>(G96*$F$14)*M96</f>
        <v>#REF!</v>
      </c>
      <c r="O96" s="54">
        <f t="shared" si="3"/>
        <v>0</v>
      </c>
      <c r="P96" s="50" t="e">
        <f>ROUND(N96*O96,2)</f>
        <v>#REF!</v>
      </c>
      <c r="Q96" s="82" t="e">
        <f>P96+N96</f>
        <v>#REF!</v>
      </c>
      <c r="R96" s="10" t="e">
        <f t="shared" si="14"/>
        <v>#REF!</v>
      </c>
      <c r="S96" s="56" t="e">
        <f t="shared" si="15"/>
        <v>#REF!</v>
      </c>
    </row>
    <row r="97" spans="1:19" ht="15" hidden="1" outlineLevel="1">
      <c r="A97" s="45"/>
      <c r="B97" s="86" t="s">
        <v>210</v>
      </c>
      <c r="C97" s="47"/>
      <c r="D97" s="48">
        <v>1</v>
      </c>
      <c r="E97" s="48">
        <v>2.8</v>
      </c>
      <c r="F97" s="48" t="e">
        <f>ROUND(($F$11*E97)*D97,2)</f>
        <v>#REF!</v>
      </c>
      <c r="G97" s="50" t="e">
        <f t="shared" si="20"/>
        <v>#REF!</v>
      </c>
      <c r="H97" s="51" t="s">
        <v>15</v>
      </c>
      <c r="I97" s="51" t="s">
        <v>15</v>
      </c>
      <c r="J97" s="51" t="s">
        <v>15</v>
      </c>
      <c r="K97" s="51" t="s">
        <v>15</v>
      </c>
      <c r="L97" s="51" t="s">
        <v>15</v>
      </c>
      <c r="M97" s="83"/>
      <c r="N97" s="53" t="e">
        <f>(G97*$F$14)*M97</f>
        <v>#REF!</v>
      </c>
      <c r="O97" s="54">
        <f t="shared" si="3"/>
        <v>0</v>
      </c>
      <c r="P97" s="50" t="e">
        <f>ROUND(N97*O97,2)</f>
        <v>#REF!</v>
      </c>
      <c r="Q97" s="82" t="e">
        <f>P97+N97</f>
        <v>#REF!</v>
      </c>
      <c r="R97" s="10" t="e">
        <f t="shared" si="14"/>
        <v>#REF!</v>
      </c>
      <c r="S97" s="56" t="e">
        <f t="shared" si="15"/>
        <v>#REF!</v>
      </c>
    </row>
    <row r="98" spans="1:19" ht="15" hidden="1" outlineLevel="1">
      <c r="A98" s="45"/>
      <c r="B98" s="89" t="s">
        <v>219</v>
      </c>
      <c r="C98" s="47"/>
      <c r="D98" s="48">
        <v>1</v>
      </c>
      <c r="E98" s="48">
        <v>2.5</v>
      </c>
      <c r="F98" s="48" t="e">
        <f>ROUND(($F$11*E98)*D98,2)</f>
        <v>#REF!</v>
      </c>
      <c r="G98" s="50" t="e">
        <f t="shared" si="20"/>
        <v>#REF!</v>
      </c>
      <c r="H98" s="51"/>
      <c r="I98" s="51"/>
      <c r="J98" s="51"/>
      <c r="K98" s="51"/>
      <c r="L98" s="51"/>
      <c r="M98" s="83"/>
      <c r="N98" s="53"/>
      <c r="O98" s="54">
        <f t="shared" si="3"/>
        <v>0</v>
      </c>
      <c r="P98" s="50"/>
      <c r="Q98" s="82"/>
      <c r="R98" s="10" t="e">
        <f t="shared" si="14"/>
        <v>#REF!</v>
      </c>
      <c r="S98" s="56" t="e">
        <f t="shared" si="15"/>
        <v>#REF!</v>
      </c>
    </row>
    <row r="99" spans="1:19" ht="15" hidden="1" outlineLevel="1">
      <c r="A99" s="45"/>
      <c r="B99" s="86" t="s">
        <v>220</v>
      </c>
      <c r="C99" s="47"/>
      <c r="D99" s="48">
        <v>1</v>
      </c>
      <c r="E99" s="48">
        <v>1.97</v>
      </c>
      <c r="F99" s="48" t="e">
        <f>($F$11*E99)*D99</f>
        <v>#REF!</v>
      </c>
      <c r="G99" s="50" t="e">
        <f t="shared" si="20"/>
        <v>#REF!</v>
      </c>
      <c r="H99" s="51" t="s">
        <v>15</v>
      </c>
      <c r="I99" s="51" t="s">
        <v>15</v>
      </c>
      <c r="J99" s="51" t="s">
        <v>15</v>
      </c>
      <c r="K99" s="51" t="s">
        <v>15</v>
      </c>
      <c r="L99" s="51" t="s">
        <v>15</v>
      </c>
      <c r="M99" s="83"/>
      <c r="N99" s="53" t="e">
        <f>(G99*$F$14)*M99</f>
        <v>#REF!</v>
      </c>
      <c r="O99" s="54">
        <f t="shared" si="3"/>
        <v>0</v>
      </c>
      <c r="P99" s="50" t="e">
        <f>ROUND(N99*O99,2)</f>
        <v>#REF!</v>
      </c>
      <c r="Q99" s="82" t="e">
        <f>P99+N99</f>
        <v>#REF!</v>
      </c>
      <c r="R99" s="10" t="e">
        <f t="shared" si="14"/>
        <v>#REF!</v>
      </c>
      <c r="S99" s="56" t="e">
        <f t="shared" si="15"/>
        <v>#REF!</v>
      </c>
    </row>
    <row r="100" spans="1:19" ht="15" hidden="1" outlineLevel="1">
      <c r="A100" s="45"/>
      <c r="B100" s="86" t="s">
        <v>221</v>
      </c>
      <c r="C100" s="47"/>
      <c r="D100" s="48">
        <v>1</v>
      </c>
      <c r="E100" s="48">
        <v>1.7</v>
      </c>
      <c r="F100" s="48" t="e">
        <f>ROUND(($F$11*E100)*D100,2)</f>
        <v>#REF!</v>
      </c>
      <c r="G100" s="50" t="e">
        <f t="shared" si="20"/>
        <v>#REF!</v>
      </c>
      <c r="H100" s="51"/>
      <c r="I100" s="51"/>
      <c r="J100" s="51"/>
      <c r="K100" s="51"/>
      <c r="L100" s="51"/>
      <c r="M100" s="83"/>
      <c r="N100" s="53" t="e">
        <f>(G100*$F$14)*M100</f>
        <v>#REF!</v>
      </c>
      <c r="O100" s="54">
        <f t="shared" si="3"/>
        <v>0</v>
      </c>
      <c r="P100" s="50" t="e">
        <f>ROUND(N100*O100,2)</f>
        <v>#REF!</v>
      </c>
      <c r="Q100" s="82" t="e">
        <f>P100+N100</f>
        <v>#REF!</v>
      </c>
      <c r="R100" s="10" t="e">
        <f t="shared" si="14"/>
        <v>#REF!</v>
      </c>
      <c r="S100" s="56" t="e">
        <f t="shared" si="15"/>
        <v>#REF!</v>
      </c>
    </row>
    <row r="101" spans="1:19" ht="15" hidden="1" outlineLevel="1">
      <c r="A101" s="45"/>
      <c r="B101" s="86" t="s">
        <v>210</v>
      </c>
      <c r="C101" s="47"/>
      <c r="D101" s="48">
        <v>1</v>
      </c>
      <c r="E101" s="48">
        <v>2.8</v>
      </c>
      <c r="F101" s="48" t="e">
        <f>ROUND(($F$11*E101)*D101,2)</f>
        <v>#REF!</v>
      </c>
      <c r="G101" s="50" t="e">
        <f t="shared" si="20"/>
        <v>#REF!</v>
      </c>
      <c r="H101" s="51" t="s">
        <v>15</v>
      </c>
      <c r="I101" s="51" t="s">
        <v>15</v>
      </c>
      <c r="J101" s="51" t="s">
        <v>15</v>
      </c>
      <c r="K101" s="51" t="s">
        <v>15</v>
      </c>
      <c r="L101" s="51" t="s">
        <v>15</v>
      </c>
      <c r="M101" s="84"/>
      <c r="N101" s="53" t="e">
        <f>(G101*$F$14)*M101</f>
        <v>#REF!</v>
      </c>
      <c r="O101" s="54">
        <f>$F$17</f>
        <v>0</v>
      </c>
      <c r="P101" s="50" t="e">
        <f>ROUND(N101*O101,2)</f>
        <v>#REF!</v>
      </c>
      <c r="Q101" s="82" t="e">
        <f>P101+N101</f>
        <v>#REF!</v>
      </c>
      <c r="R101" s="10" t="e">
        <f t="shared" si="14"/>
        <v>#REF!</v>
      </c>
      <c r="S101" s="56" t="e">
        <f t="shared" si="15"/>
        <v>#REF!</v>
      </c>
    </row>
    <row r="102" spans="1:19" ht="15" hidden="1" outlineLevel="1">
      <c r="A102" s="45"/>
      <c r="B102" s="89" t="s">
        <v>222</v>
      </c>
      <c r="C102" s="47"/>
      <c r="D102" s="48">
        <v>1</v>
      </c>
      <c r="E102" s="48">
        <v>2.35</v>
      </c>
      <c r="F102" s="48" t="e">
        <f>ROUND(($F$11*E102)*D102,2)</f>
        <v>#REF!</v>
      </c>
      <c r="G102" s="50" t="e">
        <f t="shared" si="20"/>
        <v>#REF!</v>
      </c>
      <c r="H102" s="51"/>
      <c r="I102" s="51"/>
      <c r="J102" s="51"/>
      <c r="K102" s="51"/>
      <c r="L102" s="51"/>
      <c r="M102" s="84"/>
      <c r="N102" s="53" t="e">
        <f>(G102*$F$14)*M102</f>
        <v>#REF!</v>
      </c>
      <c r="O102" s="54">
        <f>$F$17</f>
        <v>0</v>
      </c>
      <c r="P102" s="50" t="e">
        <f>ROUND(N102*O102,2)</f>
        <v>#REF!</v>
      </c>
      <c r="Q102" s="82" t="e">
        <f>P102+N102</f>
        <v>#REF!</v>
      </c>
      <c r="R102" s="10" t="e">
        <f t="shared" si="14"/>
        <v>#REF!</v>
      </c>
      <c r="S102" s="56" t="e">
        <f t="shared" si="15"/>
        <v>#REF!</v>
      </c>
    </row>
    <row r="103" spans="1:19" ht="15" collapsed="1">
      <c r="A103" s="45"/>
      <c r="B103" s="90" t="s">
        <v>223</v>
      </c>
      <c r="C103" s="91"/>
      <c r="D103" s="92"/>
      <c r="E103" s="92"/>
      <c r="F103" s="92"/>
      <c r="G103" s="93"/>
      <c r="H103" s="94"/>
      <c r="I103" s="94"/>
      <c r="J103" s="94"/>
      <c r="K103" s="94"/>
      <c r="L103" s="95"/>
      <c r="M103" s="39">
        <f>SUM(M23:M102)</f>
        <v>141.30000000000001</v>
      </c>
      <c r="N103" s="37" t="e">
        <f>SUM(N23:N102)</f>
        <v>#REF!</v>
      </c>
      <c r="O103" s="37"/>
      <c r="P103" s="37" t="e">
        <f>SUM(P23:P102)</f>
        <v>#REF!</v>
      </c>
      <c r="Q103" s="37" t="e">
        <f>SUM(Q23:Q102)</f>
        <v>#REF!</v>
      </c>
      <c r="R103" s="96"/>
      <c r="S103" s="37"/>
    </row>
    <row r="104" spans="1:19">
      <c r="L104" s="4" t="s">
        <v>224</v>
      </c>
      <c r="M104" s="39">
        <f>'[4]630'!D73</f>
        <v>158.80000000000001</v>
      </c>
      <c r="N104" s="37">
        <f>'[4]630'!G73</f>
        <v>163642.81499999997</v>
      </c>
      <c r="O104" s="37"/>
      <c r="P104" s="37">
        <f>'[4]630'!M73</f>
        <v>5807.4030000000012</v>
      </c>
      <c r="Q104" s="37">
        <f>'[4]630'!N73</f>
        <v>169450.21800000002</v>
      </c>
    </row>
    <row r="105" spans="1:19">
      <c r="C105" s="4"/>
      <c r="L105" s="97" t="s">
        <v>225</v>
      </c>
      <c r="M105" s="39">
        <f>M103-M104</f>
        <v>-17.5</v>
      </c>
      <c r="N105" s="37" t="e">
        <f>N103-N104</f>
        <v>#REF!</v>
      </c>
      <c r="O105" s="37"/>
      <c r="P105" s="37" t="e">
        <f>P103-P104</f>
        <v>#REF!</v>
      </c>
      <c r="Q105" s="37" t="e">
        <f>Q103-Q104</f>
        <v>#REF!</v>
      </c>
    </row>
    <row r="107" spans="1:19" ht="15.75">
      <c r="B107" s="98" t="s">
        <v>226</v>
      </c>
      <c r="C107" s="98"/>
      <c r="E107" s="98" t="s">
        <v>227</v>
      </c>
      <c r="F107" s="99"/>
    </row>
    <row r="110" spans="1:19">
      <c r="B110" s="46" t="s">
        <v>172</v>
      </c>
      <c r="C110" s="70">
        <v>2</v>
      </c>
      <c r="D110" s="62">
        <f>VLOOKUP(C110,$M$7:$N$12,2,FALSE)</f>
        <v>1.08</v>
      </c>
      <c r="E110" s="48">
        <v>1.43</v>
      </c>
      <c r="F110" s="48" t="e">
        <f>ROUND(($F$9*E110)*D110,2)</f>
        <v>#REF!</v>
      </c>
      <c r="G110" s="50" t="e">
        <f>ROUND(F110/$F$14,2)</f>
        <v>#REF!</v>
      </c>
      <c r="H110" s="71" t="e">
        <f>G110*$F$18</f>
        <v>#REF!</v>
      </c>
      <c r="I110" s="71" t="e">
        <f>H110*$F$15</f>
        <v>#REF!</v>
      </c>
      <c r="J110" s="72">
        <f>$F$16*8/12</f>
        <v>6.666666666666667</v>
      </c>
      <c r="K110" s="71" t="e">
        <f>G110*J110</f>
        <v>#REF!</v>
      </c>
      <c r="L110" s="51">
        <v>0</v>
      </c>
      <c r="M110" s="65">
        <v>5</v>
      </c>
      <c r="N110" s="50" t="e">
        <f>(F110+I110+K110+L110)*M110</f>
        <v>#REF!</v>
      </c>
      <c r="O110" s="54">
        <f>$F$17</f>
        <v>0</v>
      </c>
      <c r="P110" s="50" t="e">
        <f>ROUND(N110*O110,2)</f>
        <v>#REF!</v>
      </c>
      <c r="Q110" s="55" t="e">
        <f>P110+N110</f>
        <v>#REF!</v>
      </c>
      <c r="R110" s="10" t="e">
        <f>F110*O110</f>
        <v>#REF!</v>
      </c>
      <c r="S110" s="56" t="e">
        <f>F110+R110</f>
        <v>#REF!</v>
      </c>
    </row>
    <row r="113" spans="1:19">
      <c r="A113" s="45"/>
      <c r="B113" s="46" t="s">
        <v>170</v>
      </c>
      <c r="C113" s="47"/>
      <c r="D113" s="48">
        <v>1</v>
      </c>
      <c r="E113" s="58">
        <v>1.5</v>
      </c>
      <c r="F113" s="48" t="e">
        <f>ROUND(($F$12*E113)*D113,2)</f>
        <v>#REF!</v>
      </c>
      <c r="G113" s="50" t="e">
        <f>ROUND(F113/$F$14,2)</f>
        <v>#REF!</v>
      </c>
      <c r="H113" s="51" t="s">
        <v>15</v>
      </c>
      <c r="I113" s="51" t="s">
        <v>15</v>
      </c>
      <c r="J113" s="51" t="s">
        <v>15</v>
      </c>
      <c r="K113" s="51" t="s">
        <v>15</v>
      </c>
      <c r="L113" s="51" t="s">
        <v>15</v>
      </c>
      <c r="M113" s="63">
        <v>1</v>
      </c>
      <c r="N113" s="53" t="e">
        <f>(G113*$F$14)*M113</f>
        <v>#REF!</v>
      </c>
      <c r="O113" s="54">
        <f>$F$17</f>
        <v>0</v>
      </c>
      <c r="P113" s="50" t="e">
        <f>ROUND(N113*O113,2)</f>
        <v>#REF!</v>
      </c>
      <c r="Q113" s="55" t="e">
        <f>P113+N113</f>
        <v>#REF!</v>
      </c>
      <c r="R113" s="10" t="e">
        <f>F113*O113</f>
        <v>#REF!</v>
      </c>
      <c r="S113" s="56" t="e">
        <f>F113+R113</f>
        <v>#REF!</v>
      </c>
    </row>
    <row r="114" spans="1:19">
      <c r="A114" s="45"/>
      <c r="B114" s="46" t="s">
        <v>165</v>
      </c>
      <c r="C114" s="47"/>
      <c r="D114" s="48">
        <v>1</v>
      </c>
      <c r="E114" s="58">
        <v>1.7</v>
      </c>
      <c r="F114" s="48" t="e">
        <f>ROUND(($F$11*E114)*D114,2)</f>
        <v>#REF!</v>
      </c>
      <c r="G114" s="60" t="e">
        <f>ROUND(F114/$F$14,2)</f>
        <v>#REF!</v>
      </c>
      <c r="H114" s="51"/>
      <c r="I114" s="51"/>
      <c r="J114" s="51"/>
      <c r="K114" s="51"/>
      <c r="L114" s="51"/>
      <c r="M114" s="65">
        <v>2</v>
      </c>
      <c r="N114" s="53" t="e">
        <f>(G114*$F$14)*M114</f>
        <v>#REF!</v>
      </c>
      <c r="O114" s="54">
        <f>$F$17</f>
        <v>0</v>
      </c>
      <c r="P114" s="50" t="e">
        <f>ROUND(N114*O114,2)</f>
        <v>#REF!</v>
      </c>
      <c r="Q114" s="55" t="e">
        <f>P114+N114</f>
        <v>#REF!</v>
      </c>
      <c r="R114" s="10" t="e">
        <f>F114*O114</f>
        <v>#REF!</v>
      </c>
      <c r="S114" s="56" t="e">
        <f>F114+R114</f>
        <v>#REF!</v>
      </c>
    </row>
  </sheetData>
  <autoFilter ref="A21:Q105">
    <filterColumn colId="7" showButton="0"/>
    <filterColumn colId="9" showButton="0"/>
    <filterColumn colId="10" showButton="0"/>
  </autoFilter>
  <mergeCells count="20">
    <mergeCell ref="J21:K21"/>
    <mergeCell ref="M21:M22"/>
    <mergeCell ref="N21:N22"/>
    <mergeCell ref="O21:O22"/>
    <mergeCell ref="A3:S3"/>
    <mergeCell ref="B4:F4"/>
    <mergeCell ref="M5:N5"/>
    <mergeCell ref="A20:D20"/>
    <mergeCell ref="A21:A22"/>
    <mergeCell ref="B21:B22"/>
    <mergeCell ref="C21:C22"/>
    <mergeCell ref="D21:D22"/>
    <mergeCell ref="E21:E22"/>
    <mergeCell ref="F21:F22"/>
    <mergeCell ref="P21:P22"/>
    <mergeCell ref="Q21:Q22"/>
    <mergeCell ref="R21:R22"/>
    <mergeCell ref="S21:S22"/>
    <mergeCell ref="G21:G22"/>
    <mergeCell ref="H21:I21"/>
  </mergeCells>
  <printOptions horizontalCentered="1"/>
  <pageMargins left="0.19" right="0.24" top="0.57999999999999996" bottom="0.41" header="0.51181102362204722" footer="0.25"/>
  <pageSetup paperSize="9" scale="79" firstPageNumber="0" fitToHeight="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 Ітог для ріш</vt:lpstr>
      <vt:lpstr>Чис_двірн</vt:lpstr>
      <vt:lpstr>Послуги</vt:lpstr>
      <vt:lpstr>акт</vt:lpstr>
      <vt:lpstr>НРВ</vt:lpstr>
      <vt:lpstr>ЗП</vt:lpstr>
      <vt:lpstr>ЗП!Excel_BuiltIn_Print_Titles_62</vt:lpstr>
      <vt:lpstr>' Ітог для ріш'!Заголовки_для_печати</vt:lpstr>
      <vt:lpstr>ЗП!Заголовки_для_печати</vt:lpstr>
      <vt:lpstr>ЗП!Область_печати</vt:lpstr>
      <vt:lpstr>Послуги!Область_печати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2018-05-05T07:28:32Z</cp:lastPrinted>
  <dcterms:created xsi:type="dcterms:W3CDTF">2014-06-27T20:34:47Z</dcterms:created>
  <dcterms:modified xsi:type="dcterms:W3CDTF">2018-05-05T08:26:50Z</dcterms:modified>
</cp:coreProperties>
</file>