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В титул" sheetId="1" r:id="rId1"/>
  </sheets>
  <definedNames>
    <definedName name="_GoBack" localSheetId="0">'В титул'!$B$146</definedName>
    <definedName name="_xlnm.Print_Titles" localSheetId="0">'В титул'!$7:$7</definedName>
    <definedName name="_xlnm.Print_Area" localSheetId="0">'В титул'!$A$1:$E$271</definedName>
  </definedNames>
  <calcPr fullCalcOnLoad="1"/>
</workbook>
</file>

<file path=xl/sharedStrings.xml><?xml version="1.0" encoding="utf-8"?>
<sst xmlns="http://schemas.openxmlformats.org/spreadsheetml/2006/main" count="539" uniqueCount="520">
  <si>
    <t>Джерело фінансування</t>
  </si>
  <si>
    <t>Утримання підземних переходів</t>
  </si>
  <si>
    <t>1.2</t>
  </si>
  <si>
    <t>2.1</t>
  </si>
  <si>
    <t>2.2</t>
  </si>
  <si>
    <t>2.3</t>
  </si>
  <si>
    <t>2.4</t>
  </si>
  <si>
    <t>Найменування об`єкта</t>
  </si>
  <si>
    <t>Міський бюджет</t>
  </si>
  <si>
    <t>№ з/п</t>
  </si>
  <si>
    <t>1.1.1</t>
  </si>
  <si>
    <t>1.1.2</t>
  </si>
  <si>
    <t>Утримання місць поховань</t>
  </si>
  <si>
    <t>Кошторисна вартість, грн</t>
  </si>
  <si>
    <t>Загальний фонд, грн</t>
  </si>
  <si>
    <t>Спец. фонд (бюджет розвитку), грн</t>
  </si>
  <si>
    <t>1.3</t>
  </si>
  <si>
    <t>2.1.1</t>
  </si>
  <si>
    <t>2.1.2</t>
  </si>
  <si>
    <t>2.1.3</t>
  </si>
  <si>
    <t>2.1.4</t>
  </si>
  <si>
    <t>2.1.5</t>
  </si>
  <si>
    <t>1.4</t>
  </si>
  <si>
    <t>1.5</t>
  </si>
  <si>
    <t>Оплата послуг</t>
  </si>
  <si>
    <t>Оренда земельної ділянки під карєр грунту для забеспечення безпечної експлуатації полігону ТПВ</t>
  </si>
  <si>
    <t>Поточний ремонт малих архітектурних споруд</t>
  </si>
  <si>
    <t>Утримання вулично-дорожньої мережі</t>
  </si>
  <si>
    <t xml:space="preserve">Благоустрій озеленених територій </t>
  </si>
  <si>
    <t>Послуги з проведення ремонту, технічного обслуговування технічних засобів регулювання дорожнього руху</t>
  </si>
  <si>
    <t>Захоронення невідомих безрідних людей</t>
  </si>
  <si>
    <t xml:space="preserve">Викуп земельних паїв під кладовище </t>
  </si>
  <si>
    <t>Разом у розділі 3</t>
  </si>
  <si>
    <t xml:space="preserve">3. Реконструкція та будівництво об'єктів </t>
  </si>
  <si>
    <t>Розчищення русла р.Десна з укріпленням берегової лінії в районі міського пляжу "Золотий берег"</t>
  </si>
  <si>
    <t>3.1</t>
  </si>
  <si>
    <t>Разом у пункті 3.1 КЕКВ (3142)</t>
  </si>
  <si>
    <t>Подача газу до Вічного вогню (КЕКВ 2274)</t>
  </si>
  <si>
    <t>Послуги з благоустрою, які виникають протягом року з них:</t>
  </si>
  <si>
    <t>Святкове оформлення міста до урочистих подій та свят</t>
  </si>
  <si>
    <t xml:space="preserve">2. Капітальні видатки </t>
  </si>
  <si>
    <t>2.5</t>
  </si>
  <si>
    <t>2.6</t>
  </si>
  <si>
    <t>1.1.3</t>
  </si>
  <si>
    <t>1.1.4</t>
  </si>
  <si>
    <t>1.1.5</t>
  </si>
  <si>
    <t>1.1.6</t>
  </si>
  <si>
    <t>1.1.7</t>
  </si>
  <si>
    <t>1.1.8</t>
  </si>
  <si>
    <t>1.1.9</t>
  </si>
  <si>
    <t xml:space="preserve"> Проведення капітального ремонту внутрішньо-будинкових проїздів в житловій забудові, з них:</t>
  </si>
  <si>
    <t>Послуги з водопостачання та водовідведення фонтанів міста (КЕКВ 2272)</t>
  </si>
  <si>
    <t>Знесення окремих засохлих та пошкоджених дерев і кущів на прибудинкових територіях</t>
  </si>
  <si>
    <t>Капітальний ремонт зупинок громадського транспорту з них:</t>
  </si>
  <si>
    <t>Послуги з ремонту та  утримання очисних споруд та зливової каналізації (з гідродинамічним очищенням)</t>
  </si>
  <si>
    <t>Послуги з поточного ремонту та  утримання громадських вбиралень</t>
  </si>
  <si>
    <t>Освітлення вулиць міста (КЕКВ 2273)</t>
  </si>
  <si>
    <t>Пслуги з проведення поточного ремонту та технічного обслуговування мереж зовнішнього освітлення міста</t>
  </si>
  <si>
    <t xml:space="preserve"> </t>
  </si>
  <si>
    <t>2.11</t>
  </si>
  <si>
    <t>2.7</t>
  </si>
  <si>
    <t>Придбання та встановлення електронно інформаційних табло для облаштування зупинок громадського транспорту</t>
  </si>
  <si>
    <t>2.2.1</t>
  </si>
  <si>
    <t>2.2.2</t>
  </si>
  <si>
    <t>2.2.3</t>
  </si>
  <si>
    <t>2.2.4</t>
  </si>
  <si>
    <t>2.2.5</t>
  </si>
  <si>
    <t>2.2.6</t>
  </si>
  <si>
    <t>2.2.7</t>
  </si>
  <si>
    <t>2.2.8</t>
  </si>
  <si>
    <t>2.2.9</t>
  </si>
  <si>
    <t>2.2.11</t>
  </si>
  <si>
    <t>2.2.10</t>
  </si>
  <si>
    <t>2.2.12</t>
  </si>
  <si>
    <t>2.2.13</t>
  </si>
  <si>
    <t>2.2.14</t>
  </si>
  <si>
    <t>2.2.15</t>
  </si>
  <si>
    <t>2.8</t>
  </si>
  <si>
    <t>Регулювання чисельності безпритульних тварин методом біостерилізації (утримання пункту тимчасового утримання тварин по вул. Любченка (Володимира Дрозда) в м. Чернігові)</t>
  </si>
  <si>
    <t>2.12</t>
  </si>
  <si>
    <t>2.13</t>
  </si>
  <si>
    <t>2.14</t>
  </si>
  <si>
    <t>Капітальний ремонт зелених насаджень вздовж житлового будинку по вул. 1 Гвардійської армії,4</t>
  </si>
  <si>
    <t>Послуги по підключенню зупинок громадського транспорту до електричних мереж</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</si>
  <si>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</si>
  <si>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</si>
  <si>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</si>
  <si>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</si>
  <si>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</si>
  <si>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</si>
  <si>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</si>
  <si>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</si>
  <si>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</si>
  <si>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</si>
  <si>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</si>
  <si>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</si>
  <si>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</si>
  <si>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</si>
  <si>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</si>
  <si>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</si>
  <si>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</si>
  <si>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</si>
  <si>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</si>
  <si>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</si>
  <si>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</si>
  <si>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</si>
  <si>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</si>
  <si>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</si>
  <si>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</si>
  <si>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</si>
  <si>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</si>
  <si>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</si>
  <si>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</si>
  <si>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</si>
  <si>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</si>
  <si>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</si>
  <si>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</si>
  <si>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</si>
  <si>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</si>
  <si>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</si>
  <si>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</si>
  <si>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</si>
  <si>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Капітальний ремонт зупинки громадського транспорту   «вул. Льотна» (вул. Льотна, 10) в м. Чернігів</t>
  </si>
  <si>
    <t>Благоустрій територій місць відпочинку людей біля води</t>
  </si>
  <si>
    <t>Поточний ремонт обладнання пляжів (облаштування пляжів)</t>
  </si>
  <si>
    <t>Послуги з технічного супроводу роботи віртуальної мережі</t>
  </si>
  <si>
    <t>Придбання та встановлення урн</t>
  </si>
  <si>
    <t xml:space="preserve">Капітальний ремонт та технічне переоснащення святкової ілюмінації </t>
  </si>
  <si>
    <t>Перелік об'єктів благоустрою міста Чернігова на 2019 рік</t>
  </si>
  <si>
    <t>Технічне обслуговування системи відеоспостереження вулиць міста Чернігова</t>
  </si>
  <si>
    <t>Послуги по підключенню зупинок до послуги швидкісного доступу до  мережі Інтернет</t>
  </si>
  <si>
    <t>Утримання вулично-дорожньої мережі (кредиторська заборгованість )</t>
  </si>
  <si>
    <t>Утримання підземних переходів (кредиторська заборгованість )</t>
  </si>
  <si>
    <t>Послуги з ремонту та  утримання очисних споруд та зливової каналізації (з гідродинамічним очищенням) (кредиторська заборгованість )</t>
  </si>
  <si>
    <t>Благоустрій озеленених територій (кредиторська заборгованість )</t>
  </si>
  <si>
    <t>Послуги з проведення поточного ремонту та утримання фонтанів та насосної станції на річці Десна (кредиторська заборгованість )</t>
  </si>
  <si>
    <t>Послуги з поточного ремонту та  утримання громадських вбиралень (кредиторська заборгованість)</t>
  </si>
  <si>
    <t>Поточний ремонт малих архітектурних споруд (кредиторська заборгованість )</t>
  </si>
  <si>
    <t>Святкове оформлення міста до урочистих подій та свят (кредиторська заборгованість )</t>
  </si>
  <si>
    <t>Послуги з технічного супроводу роботи віртуальної мережі (кредиторська заборгованість )</t>
  </si>
  <si>
    <t>Технічне обслуговування системи відеоспостереження вулиць міста Чернігова (кредиторська заборгованість )</t>
  </si>
  <si>
    <t>Послуги по підключенню зупинок до послуги швидкісного доступу до  мережі Інтернет (кредиторська заборгованість )</t>
  </si>
  <si>
    <t>Послуги з поточного ремонту огорожі на перетині вул.Льотна та вул.Стрілецька в м. Чернігів (кредиторська заборгованість )</t>
  </si>
  <si>
    <t>Послуга з влаштування дренажного каналу для відведення зливових вод на території пункту тимчасового утримання тварин по вул.Любченка (Володимира Дрозда) в м. Чернігові (кредиторська заборгованість )</t>
  </si>
  <si>
    <t>Послуги з влаштування системи автоматичного поливу  з озелененням на перехресті просп. Перемоги та  вул. Олександра Молодчого (кредиторська заборгованість )</t>
  </si>
  <si>
    <t>Послуги по встановленню урн (кредиторська заборгованість )</t>
  </si>
  <si>
    <t>Послуги з експертної грошової оцінки земельної ділянки  площею 12 113 кв.м. для ведення товарного сільськогосподарського виробництва, що знаходиться за адресою: Чернігівська обл., Чернігівський р-н, на території Вознесенської сільської ради (за межами населеного пункту) (кредиторська заборгованість )</t>
  </si>
  <si>
    <t>Послуги з експертної грошової оцінки земельної ділянки  площею 12 539 кв.м. для ведення товарного сільськогосподарського виробництва, що знаходиться за адресою: Чернігівська обл., Чернігівський р-н, на території Вознесенської сільської ради (за межами населеного пункту) (кредиторська заборгованість )</t>
  </si>
  <si>
    <t>Послуги по офрмленню новорічної ялинки (монтаж комплекту мембран та гірлянди-ланцюжок) (кредиторська заборгованість )</t>
  </si>
  <si>
    <t>Послуги по демонтажу зупинок громадського транспорту (кредиторська заборгованість )</t>
  </si>
  <si>
    <t>Послуги по завезенню та розплануванню піску на каток на Красній площі (кредиторська заборгованість )</t>
  </si>
  <si>
    <t>Послуги по підключенню зупинок громадського транспорту до електричних мереж (7 точок приєднання) (кредиторська заборгованість )</t>
  </si>
  <si>
    <t>Поточний ремонт огорожі кладовища по                             вул. Старобілоуській (64 м.п.) (кредиторська заборгованість )</t>
  </si>
  <si>
    <t>Погашення кредиторської заборгованості</t>
  </si>
  <si>
    <t>1.1.</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</si>
  <si>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</si>
  <si>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</si>
  <si>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</si>
  <si>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</si>
  <si>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</si>
  <si>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</si>
  <si>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</si>
  <si>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</si>
  <si>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</si>
  <si>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</si>
  <si>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</si>
  <si>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</si>
  <si>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</si>
  <si>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</si>
  <si>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</si>
  <si>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</si>
  <si>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</si>
  <si>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</si>
  <si>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</si>
  <si>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</si>
  <si>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</si>
  <si>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</si>
  <si>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1.6</t>
  </si>
  <si>
    <t>Разом у пункті 1.6 КЕКВ (2800)</t>
  </si>
  <si>
    <t>Разом у пунктах  1.3. - 1.5. (КЕКВ 2272, 2273, 2274)</t>
  </si>
  <si>
    <t>Послуги з розроблення технічної документації із землеустрою щодо встановлення меж частини земельної ділянки, на яку поширюється право сервітуту  управління житлово-комунального господарства Чернігівської міської ради для проведення робіт по об’єкту  “Капітальний ремонт парку ім.  Коцюбинського в  м. Чернігові» площею 3,1786 га, строком на 2 роки, на земельну ділянку, надану в постійне користування Національному архітектурно-історичному заповіднику «Чернігів стародавній», розташовану за адресою: м. Чернігів, вул.. Преображенська, 1, (кад. номер 7410100000:02:035:0067)</t>
  </si>
  <si>
    <t>2.6.1</t>
  </si>
  <si>
    <t>2.6.3</t>
  </si>
  <si>
    <t>2.6.4</t>
  </si>
  <si>
    <t>2.6.5</t>
  </si>
  <si>
    <t>2.6.6</t>
  </si>
  <si>
    <t>2.9</t>
  </si>
  <si>
    <t>Разом погашення кредиторської заборгованісті:</t>
  </si>
  <si>
    <t>2.10</t>
  </si>
  <si>
    <t>2.6.2.</t>
  </si>
  <si>
    <t>Разом у  розділі 2:</t>
  </si>
  <si>
    <t>Разом у розділах 1 -2:</t>
  </si>
  <si>
    <t xml:space="preserve">Капітальний ремонт зупинки громадського транспорту «вул. М. Небаби» (пр-т Миру, 121) </t>
  </si>
  <si>
    <t xml:space="preserve">Капітальний ремонт зупинки громадського транспорту «Швейне об’єднання» (просп. Перемоги, 45)                          </t>
  </si>
  <si>
    <t xml:space="preserve">Капітальний ремонт зупинки громадського транспорту «Міський пляж «Золотий берег» (вул. Берегова)                          </t>
  </si>
  <si>
    <t xml:space="preserve">Капітальний ремонт зупинки громадського транспорту «Магазин «Прогрес» (просп. Перемоги, 102)                          </t>
  </si>
  <si>
    <t xml:space="preserve"> Капітальний ремонт зупинки громадського транспорту «Готель Україна» (просп. Перемоги, 90) </t>
  </si>
  <si>
    <t xml:space="preserve">Капітальний ремонт зупинки громадського транспорту «Кооперативний технікум»(вул. Преображенська, 3)                       </t>
  </si>
  <si>
    <t xml:space="preserve"> Капітальний ремонт зупинки громадського транспорту «вул. Лісковицька» (вул. Толстого, 57)  </t>
  </si>
  <si>
    <t xml:space="preserve">Капітальний ремонт зупинки громадського транспорту «Школа №12»  (вул. Доценка, 30)  </t>
  </si>
  <si>
    <t xml:space="preserve">Капітальний ремонт зупинки громадського транспорту «Стадіон ім. Ю. О. Гагаріна» (вул. Шевченка, 50-а)                       </t>
  </si>
  <si>
    <t xml:space="preserve"> Капітальний ремонт зупинки громадського транспорту  «Палац дітей та юнацтва» (просп. Перемоги, 114)              </t>
  </si>
  <si>
    <t xml:space="preserve"> Капітальний ремонт зупинки громадського транспорту «Драмтеатр» (вул. Шевченка, 9) </t>
  </si>
  <si>
    <t>Капітальний ремонт зупинки громадського транспорту «вул. Шевченка» (вул. Шевченка, 29)</t>
  </si>
  <si>
    <t xml:space="preserve">Капітальний ремонт зупинки громадського транспорту  «Красний міст»  (вул. Шевченка, 41)  </t>
  </si>
  <si>
    <t xml:space="preserve"> Капітальний ремонт зупинки громадського транспорту  «Красний міст» (вул. Шевченка, 22)  </t>
  </si>
  <si>
    <t xml:space="preserve">Капітальний ремонт зупинки громадського транспорту  «Технологічний університет» (вул. Шевченка, 89)                        </t>
  </si>
  <si>
    <t xml:space="preserve"> Капітальний ремонт зупинки громадського транспорту  «вул. Петровського» (вул. Гетьмана Полуботка, 94) </t>
  </si>
  <si>
    <t xml:space="preserve">Капітальний ремонт зупинки громадського транспорту  «вул. Земська» (вул. Гетьмана Полуботка, 107)  </t>
  </si>
  <si>
    <t xml:space="preserve"> Капітальний ремонт зупинки громадського транспорту  «вул. Ціолковського»   ( вул. Івана Мазепи, 65)   </t>
  </si>
  <si>
    <t xml:space="preserve"> Капітальний ремонт зупинки громадського транспорту  «Нафтобаза» (вул. Івана Мазепи, непарна)                     </t>
  </si>
  <si>
    <t xml:space="preserve">Капітальний ремонт зупинки громадського транспорту  «вул. Кільцева» (вул. 1-го Травня, 230) кінцева зупинка автобусного маршруту №39  </t>
  </si>
  <si>
    <t xml:space="preserve">Капітальний ремонт зупинки громадського транспорту  «вул. Малиновського» (вул. Малиновського, 39)                        </t>
  </si>
  <si>
    <t xml:space="preserve">Капітальний ремонт зупинки громадського транспорту «вул. Малиновського» (вул. Малиновського, парна) в         </t>
  </si>
  <si>
    <t xml:space="preserve"> Капітальний ремонт зупинки громадського транспорту «вул. В. Чорновола» (вул. Любецька, 31)         </t>
  </si>
  <si>
    <t xml:space="preserve">Капітальний ремонт зупинки громадського транспорту «Чернігівгаз»  (вул. Любецька, 93)  </t>
  </si>
  <si>
    <t xml:space="preserve">Капітальний ремонт зупинки громадського транспорту  «Дитячий комбінат» (вул. Незалежності, непарна, поле) </t>
  </si>
  <si>
    <t xml:space="preserve"> Капітальний ремонт зупинки громадського транспорту   «Млибор»  (вул. Елеваторна, 2б)   </t>
  </si>
  <si>
    <t xml:space="preserve">Капітальний ремонт зупинки громадського транспорту  «Завод металоконструкцій»  (вул. Попова, 47)                 </t>
  </si>
  <si>
    <t xml:space="preserve">Капітальний ремонт зупинки громадського транспорту    «Дачі»   (вул. Михалевича, парна) </t>
  </si>
  <si>
    <t xml:space="preserve">Капітальний ремонт зупинки громадського транспорту   «Обласна лікарня» (вул. Михалевича, парна)                   </t>
  </si>
  <si>
    <t xml:space="preserve"> Капітальний ремонт зупинки громадського транспорту  «Школа № 5»  (вул. 1-го Травня, 85)</t>
  </si>
  <si>
    <t xml:space="preserve">Капітальний ремонт зупинки громадського транспорту   «вул. Ріпкинська» (вул. Ріпкинська, парна)                             </t>
  </si>
  <si>
    <t xml:space="preserve"> Капітальний ремонт зупинки громадського транспорту «Нивки» (вул. Інструментальна) </t>
  </si>
  <si>
    <t xml:space="preserve">Капітальний ремонт зупинки громадського транспорту «вул. Дмитра Бортнянського»   (вул. Шевченка, 198)  </t>
  </si>
  <si>
    <t xml:space="preserve">Капітальний ремонт зупинки громадського транспорту  «вул. Елеваторна»  (вул. Елеваторна, 3) </t>
  </si>
  <si>
    <t xml:space="preserve">Капітальний ремонт зупинки громадського транспорту  «вул. Єськова»  (вул. Єськова, 10)   </t>
  </si>
  <si>
    <t xml:space="preserve">Капітальний ремонт зупинки громадського транспорту  «Проспект Миру» (просп. Миру, 38)   </t>
  </si>
  <si>
    <t xml:space="preserve">Капітальний ремонт зупинки громадського транспорту «вул. Громадська» (просп. Миру, 165) </t>
  </si>
  <si>
    <t xml:space="preserve">Капітальний ремонт зупинки громадського транспорту  «Протитуберкульозний диспансер»  (просп. Миру, парна) кінцева зупинка автобусного маршруту №42        </t>
  </si>
  <si>
    <t xml:space="preserve">Капітальний ремонт зупинки громадського транспорту  «вул. Ціолковського» (вул. Івана Мазепи, 78)        </t>
  </si>
  <si>
    <t xml:space="preserve"> Капітальний ремонт зупинки громадського транспорту  «Нафтобаза» (вул. Івана Мазепи, 62-д) </t>
  </si>
  <si>
    <t xml:space="preserve">Капітальний ремонт зупинки громадського транспорту «вул. Музична»  (вул. Івана Мазепи, 60-а)           </t>
  </si>
  <si>
    <t xml:space="preserve">Капітальний ремонт зупинки громадського транспорту  «Міська лікарня № 2» (вул. 1-го Травня, 168) (автобусна)    </t>
  </si>
  <si>
    <t xml:space="preserve">Капітальний ремонт зупинки громадського транспорту   «Міська лікарня № 2» (вул. 1-го Травня, 168) (тролейбусна)   </t>
  </si>
  <si>
    <t xml:space="preserve">Капітальний ремонт зупинки громадського транспорту  «Пологовий будинок» (вул. Бєлова, 1) </t>
  </si>
  <si>
    <t xml:space="preserve"> Капітальний ремонт зупинки громадського транспорту  «Магазин «Івушка» (вул. Захисників України, 17)                     </t>
  </si>
  <si>
    <t xml:space="preserve">Капітальний ремонт зупинки громадського транспорту   «вул. Незалежності» (вул. Незалежності, непарна)                   </t>
  </si>
  <si>
    <t xml:space="preserve"> Капітальний ремонт зупинки громадського транспорту   «Школа № 35»  (вул. Незалежності, 48) </t>
  </si>
  <si>
    <t xml:space="preserve">Капітальний ремонт зупинки громадського транспорту  «Кінотеатр «Жовтень» (вул. Гагаріна, 18) </t>
  </si>
  <si>
    <t xml:space="preserve"> Капітальний ремонт зупинки громадського транспорту  «Облсанепідемстанція» (вул. Любецька, 26)                    </t>
  </si>
  <si>
    <t xml:space="preserve">Капітальний ремонт зупинки громадського транспорту  «Онкодиспансер»  (вул. Михалевича, непарна)       </t>
  </si>
  <si>
    <t xml:space="preserve">Капітальний ремонт зупинки громадського транспорту   «вул. Льотна»  (вул. Льотна, 5) </t>
  </si>
  <si>
    <t xml:space="preserve"> Капітальний ремонт зупинки громадського транспорту «вул. Космонавтів» (вул. Доценка, 12) </t>
  </si>
  <si>
    <t xml:space="preserve">Капітальний ремонт внутрішньо-будинкових проїздів в житловій забудові від вул. Льотна до вул. Авіаторів </t>
  </si>
  <si>
    <t>Разом у розділі 1:</t>
  </si>
  <si>
    <t>Капітальний ремонт мереж зовнішнього освітлення, з них:</t>
  </si>
  <si>
    <t>1.1.9.1</t>
  </si>
  <si>
    <t>1.1.9.10</t>
  </si>
  <si>
    <t>1.1.9.2</t>
  </si>
  <si>
    <t>1.1.9.3</t>
  </si>
  <si>
    <t>1.1.9.4</t>
  </si>
  <si>
    <t>1.1.9.5</t>
  </si>
  <si>
    <t>1.1.9.6</t>
  </si>
  <si>
    <t>1.1.9.7</t>
  </si>
  <si>
    <t>1.1.9.8</t>
  </si>
  <si>
    <t>1.1.9.9</t>
  </si>
  <si>
    <t>1.1.9.11</t>
  </si>
  <si>
    <t>1.1.9.12</t>
  </si>
  <si>
    <t>1.1.9.13</t>
  </si>
  <si>
    <t>1.1.9.14</t>
  </si>
  <si>
    <t>2.1.6</t>
  </si>
  <si>
    <t>2.1.7</t>
  </si>
  <si>
    <t>Капітальний ремонт внутрішньо-будинкових проїздів в житловій забудові за адресою вул. Дмитра Самоквасова,15 (коригування)</t>
  </si>
  <si>
    <t>Капітальний ремонт тротуарів в житловій забудові до ЗОШ №30 вул. Всіхсвятська, 14 та ДНЗ №69                      вул. Захисників України,11в</t>
  </si>
  <si>
    <t>Здійснення технічного нагляду по об'єкту: "Капітальний ремонт внутрішньо-будинкових проїздів в житловій забудові за адресою просп.Миру,50 "</t>
  </si>
  <si>
    <t>Здійснення технічного нагляду по об'єкту: " Капітальний ремонт внутрішньо-будинкових проїздів в житловій забудові за адресою вул. Шевченка,112 а "</t>
  </si>
  <si>
    <t>Здійснення технічного нагляду по об'єкту: "Капітальний ремонт внутрішньо-будинкових проїздів в житловій забудові за адресою просп.Перемоги,187"</t>
  </si>
  <si>
    <t>Здійснення технічного нагляду по об'єкту:"Капітальний ремонт внутрішньо-будинкових проїздів в житловій забудові за адресою просп.Перемоги,189"</t>
  </si>
  <si>
    <t xml:space="preserve">Здійснення технічного нагляду по об'єкту:"Капітальний ремонт мереж зовнішнього освітлення в житловій забудові до ЗОШ №30 по вул. Всіхсвятська, 14 та ДНЗ № 69 вул. Захисників України, 11" </t>
  </si>
  <si>
    <t>Здійснення технічного нагляду по об'єкту:"Капітальний ремонт мереж зовнішнього освітлення по вул. Шевченка від вул. Академіка Павлова до  вул. Ніни Сагайдак"</t>
  </si>
  <si>
    <t xml:space="preserve">Здійснення технічного нагляду по об'єкту:"Капітальний ремонт мереж зовнішнього освітлення по вул. Рокоссовського" </t>
  </si>
  <si>
    <t>Здійснення технічного нагляду по об'єкту:"Капітальний ремонт мереж зовнішнього освітлення по вул. Героїв Чорнобиля"</t>
  </si>
  <si>
    <t>Здійснення технічного нагляду по об'єкту:"Капітальний ремонт мереж зовнішнього освітлення по вул. 77-ї Гвардійської Дивізії"</t>
  </si>
  <si>
    <t>Здійснення технічного нагляду по об'єкту:"Капітальний ремонт підземного переходу по вул. Івана Мазепи (КСК)"</t>
  </si>
  <si>
    <t>2.15</t>
  </si>
  <si>
    <t>Стерилізація безпритульних тварин (бджет участі)</t>
  </si>
  <si>
    <t>2.2.54</t>
  </si>
  <si>
    <t>Здійснення технічногонагляду по об'єкту: "Капітальнмй ремонт зупинки громадського транспорту "вул. Родимцева" (вул. Пушкіна,12)"</t>
  </si>
  <si>
    <t>Послуги з розпломбування кіл обліку по заявках споживачів з наступно технічною перевіркою та пломбуванням (1 споживач)</t>
  </si>
  <si>
    <t xml:space="preserve">Послуги по поточному ремонту електронно інформаційних табло </t>
  </si>
  <si>
    <t xml:space="preserve">Послуги по встановленню паркувальних стовпчиків по вул. Івана Мазепи біля міського Палацу культури імені В’ячеслава Радченка </t>
  </si>
  <si>
    <t>Послуги з виготовлення та розміщення хатинок для качок на р. Стрижень</t>
  </si>
  <si>
    <t>Здійснення технічного нагляду по об'єкту:"Каптальний ремонт мереж зовнішнього освітлення проспекту Перемоги (від перехрестя проспект  Перемоги  - вул. Олега Міхнюка до перехрестя проспект Перемоги - вул. Олександра Молодчого)"</t>
  </si>
  <si>
    <t>2.2.55</t>
  </si>
  <si>
    <t>2.2.56</t>
  </si>
  <si>
    <t>2.2.57</t>
  </si>
  <si>
    <t>2.2.58</t>
  </si>
  <si>
    <t>2.2.59</t>
  </si>
  <si>
    <t>2.2.60</t>
  </si>
  <si>
    <t>2.2.61</t>
  </si>
  <si>
    <t>2.2.62</t>
  </si>
  <si>
    <t>2.2.63</t>
  </si>
  <si>
    <t>2.2.64</t>
  </si>
  <si>
    <t>2.2.65</t>
  </si>
  <si>
    <t>2.2.66</t>
  </si>
  <si>
    <t>2.2.67</t>
  </si>
  <si>
    <t>2.2.68</t>
  </si>
  <si>
    <t>2.2.69</t>
  </si>
  <si>
    <t>2.2.70</t>
  </si>
  <si>
    <t>2.2.71</t>
  </si>
  <si>
    <t>2.2.72</t>
  </si>
  <si>
    <t>2.2.73</t>
  </si>
  <si>
    <t xml:space="preserve">Капітальний ремонт зупинки громадського транспорту   «Привокзальний ринок» (просп. Перемоги, 13)
  </t>
  </si>
  <si>
    <t xml:space="preserve">Капітальний ремонт зупинки громадського транспорту   «Площа Перемоги» (просп. Перемоги, 33)
  </t>
  </si>
  <si>
    <t>Капітальний ремонт зупинки громадського транспорту   «вул. Хлібопекарська» (просп. Перемоги, 62)</t>
  </si>
  <si>
    <t>Капітальний ремонт зупинки громадського транспорту   «вул. Хлібопекарська» (просп. Перемоги, 57)</t>
  </si>
  <si>
    <t>Капітальний ремонт зупинки громадського транспорту «Центральний ринок» (просп. Перемоги, 82) (автобусна)</t>
  </si>
  <si>
    <t>Капітальний ремонт зупинки громадського транспорту «Центральний ринок» (просп. Перемоги, 82) (тролейбусна)</t>
  </si>
  <si>
    <t>Капітальний ремонт зупинки громадського транспорту «Школа №11» (просп. Миру, 140)</t>
  </si>
  <si>
    <t>Капітальний ремонт зупинки громадського транспорту «Мегацентр» (просп. Миру, 49) (тролейбусна)</t>
  </si>
  <si>
    <t>Капітальний ремонт зупинки громадського транспорту «Парк культури та відпочинку» (вул. Шевченка,57)</t>
  </si>
  <si>
    <t>Капітальний ремонт зупинки громадського транспорту «Парк культури та відпочинку» (вул. Шевченка,34-а)</t>
  </si>
  <si>
    <t>Капітальний ремонт зупинки громадського транспорту «Міська лікарня» (вул. Івана Мазепи, 1)</t>
  </si>
  <si>
    <t>Капітальний ремонт зупинки громадського транспорту «Міський палац культури» (вул. Івана Мазепи, 20)</t>
  </si>
  <si>
    <t>2.6.7</t>
  </si>
  <si>
    <t>2.6.8</t>
  </si>
  <si>
    <t>2.6.9</t>
  </si>
  <si>
    <t>2.6.10</t>
  </si>
  <si>
    <t xml:space="preserve">Капітальний ремонт мереж зовнішнього освітлення по вул. Котляревського </t>
  </si>
  <si>
    <t xml:space="preserve">Капітальний ремонт мереж зовнішнього освітлення по вул. Софії Русової </t>
  </si>
  <si>
    <t>2.5.1</t>
  </si>
  <si>
    <t>2.5.2</t>
  </si>
  <si>
    <t>2.5.3</t>
  </si>
  <si>
    <t>2.5.4</t>
  </si>
  <si>
    <t>2.5.5</t>
  </si>
  <si>
    <t>2.5.6</t>
  </si>
  <si>
    <t>2.5.7</t>
  </si>
  <si>
    <t>2.5.8</t>
  </si>
  <si>
    <t>2.5.9</t>
  </si>
  <si>
    <t>2.5.10</t>
  </si>
  <si>
    <t>2.5.11</t>
  </si>
  <si>
    <t>2.5.12</t>
  </si>
  <si>
    <t>2.5.13</t>
  </si>
  <si>
    <t>2.5.14</t>
  </si>
  <si>
    <t>2.5.15</t>
  </si>
  <si>
    <t>2.5.16</t>
  </si>
  <si>
    <t>2.5.17</t>
  </si>
  <si>
    <t>Капітальний ремонт освітлення пішохідного переходу біля житлового будинку по вул. Івана Мазепи, 4</t>
  </si>
  <si>
    <t xml:space="preserve">Капітальний ремонт освітлення пішохідного переходу біля житлового будинку по вул. 1-го Травня, 54 </t>
  </si>
  <si>
    <t xml:space="preserve">Капітальний ремонт освітлення пішохідного переходу біля житлового будинку по вул. 1-го Травня, 95 </t>
  </si>
  <si>
    <t xml:space="preserve">Капітальний ремонт освітлення пішохідного переходу на перехресті вул. 1-го Травня - вул. Генерала Бєлова </t>
  </si>
  <si>
    <t xml:space="preserve">Капітальний ремонт освітлення пішохідного переходу біля житлового будинку по вул. Генерала Бєлова, 4  </t>
  </si>
  <si>
    <t xml:space="preserve">Капітальний ремонт освітлення пішохідного переходу біля житлового будинку по вул. Генерала Бєлова, 8  </t>
  </si>
  <si>
    <t xml:space="preserve">Капітальний ремонт освітлення пішохідного переходу біля житлового будинку по вул. Генерала Бєлова, 20  </t>
  </si>
  <si>
    <t xml:space="preserve">Капітальний ремонт освітлення пішохідного переходу біля житлового будинку по вул. Генерала Бєлова, 28  </t>
  </si>
  <si>
    <t xml:space="preserve">Капітальний ремонт освітлення пішохідного переходу біля житлового будинку по вул. Незалежності, 10  </t>
  </si>
  <si>
    <t xml:space="preserve">Капітальний ремонт освітлення пішохідного переходу біля житлового будинку по вул. Незалежності, 12  </t>
  </si>
  <si>
    <t xml:space="preserve">Капітальний ремонт освітлення пішохідного переходу на перехресті вул. Гагаріна - вул. Дніпровська </t>
  </si>
  <si>
    <t xml:space="preserve">Капітальний ремонт освітлення пішохідного переходу біля житлового будинку по вул. Дніпровська,1  </t>
  </si>
  <si>
    <t xml:space="preserve">Капітальний ремонт освітлення пішохідного переходу біля житлового будинку по вул. Гагаріна, 24 </t>
  </si>
  <si>
    <t xml:space="preserve">Капітальний ремонт освітлення пішохідного переходу біля житлового будинку по вул. Козацька, 18  </t>
  </si>
  <si>
    <t xml:space="preserve">Капітальний ремонт освітлення пішохідного переходу біля житлового будинку по вул. Козацька, 22  </t>
  </si>
  <si>
    <t xml:space="preserve">Капітальний ремонт освітлення пішохідного переходу біля житлового будинку по вул. Глібова, 34  </t>
  </si>
  <si>
    <t>Капітальний ремонт освітлення пішохідних переходів</t>
  </si>
  <si>
    <t xml:space="preserve">Капітальний ремонт освітлення пішохідного переходу на перехресті вул. 1-го Травня - вул. Грибоєдова </t>
  </si>
  <si>
    <t xml:space="preserve">Капітальний ремонт мереж зовнішнього освітлення по вул. Шевченка від вул. Кирпоноса  до вул. Академіка Павлова </t>
  </si>
  <si>
    <t>Капітальний ремонт зупинки громадського транспорту «Проспект Перемоги» (вул. П'ятницька,19)</t>
  </si>
  <si>
    <t xml:space="preserve">Послуга доступу до мережі інтернет </t>
  </si>
  <si>
    <t>Послуги по влашттуванню огорожі території кладовища Німецьке</t>
  </si>
  <si>
    <t>2.1.8</t>
  </si>
  <si>
    <t>2.1.9</t>
  </si>
  <si>
    <t>Капітальний ремонт внутрішньо-будинкових проїздів в житловій забудові за адресою вул. Захисників України, 12</t>
  </si>
  <si>
    <t>Капітальний ремонт зупинки громадського транспорту «Інститут геологорозвідки" (вул. Івана Мазепи, 12)</t>
  </si>
  <si>
    <t>Капітальний ремонт внутрішньо-будинкових проїздів в житловій забудові від вул. Льотна до вул. Авіаторів (Коригування)</t>
  </si>
  <si>
    <t>1.7.</t>
  </si>
  <si>
    <t>1.7.1</t>
  </si>
  <si>
    <t>1.7.2</t>
  </si>
  <si>
    <t>Придбання та встановлення лавок за адресами: по вул. Шевчука буд. №8 та №12/6 і по вул. В’ячеслава Радченка буд. №14</t>
  </si>
  <si>
    <t>Придбання та встановлення парканчику за адресою  вул. В’ячеслава Радченка буд. №14</t>
  </si>
  <si>
    <t>2.1.10</t>
  </si>
  <si>
    <t>Капітальний ремонт внутрішньо-будинкових проїздів в житловій забудові за адресою вул. Льтна,43</t>
  </si>
  <si>
    <t>Заходи у рамках Програми забезпечення діяльності та виконання доручень виборців депутатами Чернігівської міської ради на 2019 рік (КЕКВ 2210) в тому числі:</t>
  </si>
  <si>
    <t>Капітальний ремонт зупинки громадського транспорту «Площа Перемоги» (вул. Івана Мазепи, 37)</t>
  </si>
  <si>
    <t>Капітальний ремонт зупинки громадського транспорту «Площа Перемоги» (вул. Івана Мазепи, 38)</t>
  </si>
  <si>
    <t>Капітальний ремонт парку ім. Коцюбинського (коригування) (перерахунок у поточні ціни)</t>
  </si>
  <si>
    <t>1.7.3</t>
  </si>
  <si>
    <t>Придбання та встановлення парканчику за адресою                1-ої Гвардійської Армії, буд. 12/6</t>
  </si>
  <si>
    <t>2.1.11</t>
  </si>
  <si>
    <t>2.1.12</t>
  </si>
  <si>
    <t>2.1.13</t>
  </si>
  <si>
    <t>2.1.14</t>
  </si>
  <si>
    <t>2.1.15</t>
  </si>
  <si>
    <t>2.1.16</t>
  </si>
  <si>
    <t>Капітальний ремонт внутрішньо-будинкових проїздів в житловій забудові за адресою вул. Генерала Бєлова, 23</t>
  </si>
  <si>
    <t>Капітальний ремонт внутрішньо-будинкових проїздів в житловій забудові за адресою вул. Генерала Бєлова, 29</t>
  </si>
  <si>
    <t>Капітальний ремонт внутрішньо-будинкового проїзду житлової забудови від ДНЗ №73                                             вул. Рокоссовського, 52 до вул. Доценка</t>
  </si>
  <si>
    <t>Капітальний ремонт внутрішньо-будинкових проїздів в житловій забудові за адресою вул. Рокоссовського,42</t>
  </si>
  <si>
    <t>Капітальний ремонт внутрішньо-будинкових проїздів в житловій забудові за адресою вул. Рокоссовського,46</t>
  </si>
  <si>
    <t>2.1.17</t>
  </si>
  <si>
    <t>Капітальний ремонт внутрішньо-будинкових проїздів в житловій забудові за адресою вул. Самострова,11</t>
  </si>
  <si>
    <t>Приєднання до електричних мереж  системи розподілу ПАТ «Чернігівобленерго»  в зв'язку з реконструкцієй по об'єкту "Реконструкція дороги вул. Реміснича (від просп. Перемоги до вул. Івана Мазепи)"</t>
  </si>
  <si>
    <t>Приєднання до електричних мереж  системи розподілу ПАТ «Чернігівобленерго»  в зв'язку з будівництвом по об'єкту "Будівництво централізованої каналізації по вулицях Світанкова, Слов'янська, Славутицька, Льговська, Білогірська, Солов'їна  "</t>
  </si>
  <si>
    <t>Послуги з розроблення проекту землеустрою щодо відведення земельної ділянки цільове призначення, якої змінюється з "для будівництва і обслуговування паркінгів та автостоянок на землях житлової та громадської забудови" на "для будівництва та обслуговування інших будівель громадської забудови (влаштування споруди для тимчасового накопичення зливових вод" (код КВЦПЗ 03.15) площею 0,4200 га по вул. Михайла Могилянського в м. Чернігові в адміністративних межах Чернігівської міської ради Чернігівської області</t>
  </si>
  <si>
    <t>2.16</t>
  </si>
  <si>
    <r>
      <t xml:space="preserve">Регулювання чисельності безпритульних тварин методом біостерилізації (утримання пункту тимчасового утримання тварин по вул. Любченка (Володимира Дрозда) в м. Чернігові) </t>
    </r>
    <r>
      <rPr>
        <b/>
        <i/>
        <sz val="14"/>
        <rFont val="Times New Roman"/>
        <family val="1"/>
      </rPr>
      <t>(КЕКВ 2610)</t>
    </r>
  </si>
  <si>
    <t>2.6.11</t>
  </si>
  <si>
    <t xml:space="preserve">Послуги з проведення поточного ремонту та утримання фонтанів </t>
  </si>
  <si>
    <t>Послуги з розроблення проекту землеустрою щодо відведення земельної ділянки цільове призначення якої змінюється з "для ведення товарного сільськогосподарського виробництва" на "для будівництва та обслуговування інших будівель громадської забудови (кладовища)" (кадастровий номер 7425585700:03:000:0249) площею 1,2114 га розташованої на території Вознесенської сільської ради Чернігівського району Чернігівської області</t>
  </si>
  <si>
    <t>Послуги з розроблення проекту землеустрою щодо відведення земельної ділянки цільове призначення якої змінюється з "для ведення товарного сільськогосподарського виробництва" на "для будівництва та обслуговування інших будівель громадської забудови (кладовища)" (кадастровий номер 7425585700:03:000:0075) площею 1,2113 га розташованої на території Вознесенської сільської ради Чернігівського району Чернігівської області</t>
  </si>
  <si>
    <t>Послуги з розроблення проекту землеустрою щодо відведення земельної ділянки цільове призначення якої змінюється з "для ведення товарного сільськогосподарського виробництва" на "для будівництва та обслуговування інших будівель громадської забудови (кладовища)" (кадастровий номер 7425585700:03:000:0074) площею 1,2113 га розташованої на території Вознесенської сільської ради Чернігівського району Чернігівської області</t>
  </si>
  <si>
    <t>Послуги з розроблення проекту землеустрою щодо відведення земельної ділянки цільове призначення якої змінюється з "для ведення товарного сільськогосподарського виробництва" на "для будівництва та обслуговування інших будівель громадської забудови (кладовища)" (кадастровий номер 7425585700:03:000:0054) площею 1,2539 га розташованої на території Вознесенської сільської ради Чернігівського району Чернігівської області</t>
  </si>
  <si>
    <t>Послуги з розроблення проекту землеустрою щодо відведення земельної ділянки цільове призначення якої змінюється з "для ведення товарного сільськогосподарського виробництва" на "для будівництва та обслуговування інших будівель громадської забудови (кладовища)" (кадастровий номер 7425585700:03:000:0257) площею 1,3513 га розташованої на території Вознесенської сільської ради Чернігівського району Чернігівської області</t>
  </si>
  <si>
    <t>Послуги з розроблення проекту землеустрою щодо відведення земельної ділянки цільове призначення якої змінюється з "для ведення особистого селянського господарства" на "для будівництва та обслуговування інших будівель громадської забудови (кладовища)" (кадастровий номер 7425585700:03:000:0073) площею 1,2226 га розташованої на території Вознесенської сільської ради Чернігівського району Чернігівської області</t>
  </si>
  <si>
    <t>Послуги з розроблення проекту землеустрою щодо відведення земельної ділянки цільове призначення якої змінюється з "для ведення особистого селянського господарства" на "для будівництва та обслуговування інших будівель громадської забудови (кладовища)" (кадастровий номер 7425585700:03:000:0238) площею 1,5554 га розташованої на території Вознесенської сільської ради Чернігівського району Чернігівської області</t>
  </si>
  <si>
    <t>Послуги з розроблення проекту землеустрою щодо відведення земельної ділянки в постійне користування площею 180,0000 га управлінню житлово-комунального господарства Чернігівської міської ради для будівництва та обслуговування інших будівель громадської забудови (для організації відпочинку  та оздоровлення населення, благоустрою території, утримання та рекреаційного використання зелених насаджень без права житлової забудови) за адресою: м. Чернігів (в районі вулиць Савчука, Шевченка та вздовж річки Десна) в адміністративних межах Чернігівської міської ради Чернігівської області</t>
  </si>
  <si>
    <t>Послуги по виправленню профілю під'їздної дороги до кладовища"Яцево"</t>
  </si>
  <si>
    <t>Капітальний ремонт зеленої зони по                                   вул. Рокоссовського (Коригування)</t>
  </si>
  <si>
    <t>Капітальний ремонт зеленої зони по вул.Седнівська</t>
  </si>
  <si>
    <t>Капітальний ремонт зупинки громадського транспорту «Поліклініка №3» (просп. Миру, 44) (тролейбусна)  (коригування)</t>
  </si>
  <si>
    <t>Капітальний ремонт зупинки громадського транспорту «Поліклініка №3» (просп. Миру, 44) (автобусна)  (коригування)</t>
  </si>
  <si>
    <t>Капітальний ремонт внутрішньо-будинкових проїздів в житловій забудові за адресою вул. Рокоссовського,44</t>
  </si>
  <si>
    <t>1.2.22.1</t>
  </si>
  <si>
    <t>1.2.22.2</t>
  </si>
  <si>
    <t>1.2.22.3</t>
  </si>
  <si>
    <t>1.2.22.4</t>
  </si>
  <si>
    <t>1.2.22.5</t>
  </si>
  <si>
    <t>1.2.22.6</t>
  </si>
  <si>
    <t>1.2.22.7</t>
  </si>
  <si>
    <t>1.2.22.8</t>
  </si>
  <si>
    <t>1.2.22.9</t>
  </si>
  <si>
    <t>1.2.22.10</t>
  </si>
  <si>
    <t>1.2.22.11</t>
  </si>
  <si>
    <t>1.2.22.12</t>
  </si>
  <si>
    <t>1.2.22.13</t>
  </si>
  <si>
    <t>1.2.22.14</t>
  </si>
  <si>
    <t>1.2.22.15</t>
  </si>
  <si>
    <t>1.2.22.16</t>
  </si>
  <si>
    <t>1.2.22.17</t>
  </si>
  <si>
    <t>1.2.22.18</t>
  </si>
  <si>
    <t>1.2.22.19</t>
  </si>
  <si>
    <t>1.2.23.</t>
  </si>
  <si>
    <t>Капітальний ремонт проїздів на міському кладовищі «Яцево»</t>
  </si>
  <si>
    <t>2.17</t>
  </si>
  <si>
    <t>1.2.22.20</t>
  </si>
  <si>
    <t>Поточний ремонт обладнання системи відеоспостереження  (заміна пошкодженного обладнання)</t>
  </si>
  <si>
    <t>Придбання комплекту обладнання дитячого ігрового майданчику біля будинку № 65 по проспекту Миру</t>
  </si>
  <si>
    <t>Придбання комплекту обладнання гойдалки одинарної біля будинків №6, №8   по вулиці Захисників України</t>
  </si>
  <si>
    <t>Капітальний ремонт перепускної труби зливової каналізації по проспекту Миру (біля КНС №4)</t>
  </si>
  <si>
    <t>Капітальний ремонт зеленої зони по вул. Олександра Молодчого (від вул. Шевченка до вул. Берегова)</t>
  </si>
  <si>
    <t xml:space="preserve">Разом у пунктах  2.1. - 2.14. (КЕКВ 3132): </t>
  </si>
  <si>
    <t>Разом у пункті  2.15. (КЕКВ 3160)</t>
  </si>
  <si>
    <t>2.18</t>
  </si>
  <si>
    <t>2.18.1</t>
  </si>
  <si>
    <t>2.18.2</t>
  </si>
  <si>
    <t>2.18.3</t>
  </si>
  <si>
    <t xml:space="preserve"> Капітальний ремонт зеленої зони по                          вул. Шевченка від вул. Олександра Молодчого  до вул. Академіка Павлова (парна сторона)</t>
  </si>
  <si>
    <t>Капітальний ремонт мереж зовнішнього освітлення проспекту Перемоги (від перехрестя проспект  Перемоги  - вул. Олега Міхнюка до перехрестя проспект Перемоги - вул. Олександра Молодчого (Коригування)</t>
  </si>
  <si>
    <t>1.7.4</t>
  </si>
  <si>
    <t>Придбання та встановлення лавочки за адресою вул. Нафтовиків,1</t>
  </si>
  <si>
    <t>2.18.4</t>
  </si>
  <si>
    <t>2.18.5</t>
  </si>
  <si>
    <t>Придбання комплекту обладнання дитячого ігрового майданчику за адресою вул. Нафтовиків, 1</t>
  </si>
  <si>
    <t>Придбання металевої подвійної гойдалки за адресою вул. Незалежності,82</t>
  </si>
  <si>
    <t>1.2.22.21</t>
  </si>
  <si>
    <r>
      <t xml:space="preserve">Посдуги з виконання науково-дослідної роботи "Розробка геоінформаційної системи мережі зовнішнього освітлення м Чернігова" </t>
    </r>
    <r>
      <rPr>
        <b/>
        <sz val="14"/>
        <rFont val="Times New Roman"/>
        <family val="1"/>
      </rPr>
      <t>(КЕКВ 2281)</t>
    </r>
  </si>
  <si>
    <t>Капітальний ремонт внутрішньо-будинкових проїздів в житловій забудові за адресою вул. Льтна,43 (коригування)</t>
  </si>
  <si>
    <t>2.1.18</t>
  </si>
  <si>
    <t>1.2.22.22</t>
  </si>
  <si>
    <t>Поточний ремонт зеленої зони міста з влаштуванням системи автоматичного поливу</t>
  </si>
  <si>
    <t>2.2.74</t>
  </si>
  <si>
    <t>Капітальний ремонт зупинки громадського транспорту «Школа №23» (вул. Шевченка, 236)</t>
  </si>
  <si>
    <t>2.2.75</t>
  </si>
  <si>
    <t>Капітальний ремонт зупинки громадського транспорту «Стадіон ім. Ю.О. Гагаріна» (вул. Шевченка, 63)</t>
  </si>
  <si>
    <t>Капітальний ремонт зупинки громадського транспорту «вул. Стрілецька» (вул. Стрілецька, 1-а)</t>
  </si>
  <si>
    <t>1.2.22.23</t>
  </si>
  <si>
    <t>Послуги з проведення охоронних археологічних досліджень в зоні проведення робіт по об'єкту:"Капітальний ремонт ділянки тротуару  просп. Перемоги від вул. Ремісничої до просп. Миру "</t>
  </si>
  <si>
    <t>2.18.6</t>
  </si>
  <si>
    <t>1.7.5</t>
  </si>
  <si>
    <t>Придбання та встановлення парканчику для огородження дитячого майданчику за адресою                       1 Гвардійської Армії, буд. 12/6</t>
  </si>
  <si>
    <t xml:space="preserve">Придбання та встановлення бетонних тенісних столів за адресами: між вул. Кленова та вул. Ніни  Сагайдак, по вул.Малиновського буд. 39, по вул.Шевченка               буд. 248а, між будинками по вул Елеваторна буд. 4б та  вул. Елеваторна буд. 8 </t>
  </si>
  <si>
    <t>1.7.6</t>
  </si>
  <si>
    <t xml:space="preserve">Капітальний ремонт мереж зовнішнього освітлення по вул. П'ятницька від вул. Гетьмана Полуботка  до                       вул. Котляревського </t>
  </si>
  <si>
    <t>Придбання та встановлення парканчику для облаштування прибудинкової території житлового будинку за адресою  вул. В’ячеслава Радченка                          буд. №14</t>
  </si>
  <si>
    <t>1.7.7</t>
  </si>
  <si>
    <t>Придбання та встановлення декоративного паркуну у дворі вул. Освіти, буд.26</t>
  </si>
  <si>
    <t>Разом у пунктах 2.16. -2.18.: (КЕКВ 3110,3132)</t>
  </si>
  <si>
    <t>2.18.7</t>
  </si>
  <si>
    <t>Разом у пунктах 1.2.1 -  1.2.24. (КЕКВ 2240),                     (КЕКВ 2281), (КЕКВ 2610)</t>
  </si>
  <si>
    <t>Послуги з технічного супроводу роботи віртуальної мережі за 1 точку підключення з швидкістю з'єднання 3 Гбіт/с за адресою просп. Перемоги,74</t>
  </si>
  <si>
    <t>1.2.24.</t>
  </si>
  <si>
    <t>2.1.19</t>
  </si>
  <si>
    <t>Капітальний ремонт внутрішньо-будинкових проїздів в житловій забудові за адресою вул. Генерала Бєлова, 29 (Коригування)</t>
  </si>
  <si>
    <t>2.1.20</t>
  </si>
  <si>
    <t>Капітальний ремонт внутрішньо-будинкових проїздів в житловій забудові за адресою вул. Генерала Бєлова, 23 (Коригування)</t>
  </si>
  <si>
    <t>2.18.8</t>
  </si>
  <si>
    <t>Придбання та встановлення дитячої гірки великої на прибудинковій території житлового будинку за адресою по вул. Малиновського біля будинків №39 та №41</t>
  </si>
  <si>
    <t>1.2.22.24</t>
  </si>
  <si>
    <t>1.2.22.25</t>
  </si>
  <si>
    <t>Послуги з топографо-геодезичних робіт по об’єкту : ”Реконструкція зеленої зони по просп.. Миру, 54-56 в                 м. Чернігів”</t>
  </si>
  <si>
    <t>2.1.21</t>
  </si>
  <si>
    <t>Капітальний ремонт внутрішньо-будинкових проїздів в житловій забудові за адресою вул. Самострова,11 (Коригування)</t>
  </si>
  <si>
    <t xml:space="preserve">Послугт з технічного обслуговування  та повірки засобів вимірювальної техніки </t>
  </si>
  <si>
    <t xml:space="preserve"> т</t>
  </si>
  <si>
    <r>
      <t xml:space="preserve">Капітальний ремонт спортивного майданчику на прибудинковій території за адресою: вул. Самострова, буд. 22 </t>
    </r>
    <r>
      <rPr>
        <i/>
        <sz val="14"/>
        <rFont val="Times New Roman"/>
        <family val="1"/>
      </rPr>
      <t>(КЕКВ 3132)</t>
    </r>
  </si>
  <si>
    <t xml:space="preserve">Додаток 1
до рішення виконавчого комітету міської ради
листопада  2019 року   № </t>
  </si>
  <si>
    <t>Разом у пункті 1.7. КЕКВ (2210, 2240)</t>
  </si>
  <si>
    <t>1.7.8</t>
  </si>
  <si>
    <t>1.7.9</t>
  </si>
  <si>
    <t xml:space="preserve">Проведення поточного ямкового ремонту між дворового проїзду по вул. 1 Травня, буд. 189 А </t>
  </si>
  <si>
    <t>Поточний ремонт прибудинкової території по                вул. Незалежності, буд. 52</t>
  </si>
  <si>
    <t>Придбання дитячого ігрового комплексу "Малюк" біля будинків №11, №11А по вулиці Захисників України</t>
  </si>
  <si>
    <t>1.2.22.26</t>
  </si>
  <si>
    <t>Поточний ремонт огорожі  (улаштування паркану) за адресою: вул. Олександра Молодчого</t>
  </si>
  <si>
    <t xml:space="preserve">Секретар міської ради </t>
  </si>
  <si>
    <t>Н. ХОЛЬЧЕНКОВА</t>
  </si>
  <si>
    <t>2.3.1</t>
  </si>
  <si>
    <t>2.3.2</t>
  </si>
  <si>
    <t>Капітальний ремонт зеленої зони по вул.Седнівська (Коригування)</t>
  </si>
  <si>
    <t>2.1.22</t>
  </si>
  <si>
    <t>2.6.12</t>
  </si>
  <si>
    <t>2.2.76</t>
  </si>
  <si>
    <t>2.2.77</t>
  </si>
  <si>
    <t>Капітальний ремонт зупинки громадського транспорту   «вул. Толстого»  (вул. Толстого,100)</t>
  </si>
  <si>
    <t>Капітальний ремонт зупинки громадського транспорту «Пологовий будинок» (вул. 1-го Травня,167)</t>
  </si>
  <si>
    <t>Капітальний ремонт внутрішньо-будинкового проїзду житлової забудови від ДНЗ №73                                             вул. Рокоссовського, 52 до вул. Доценка (Коригування)</t>
  </si>
  <si>
    <t>1.2.22.27</t>
  </si>
  <si>
    <t xml:space="preserve">Поточний ремонт системи автоматичного поливу (встановлення дощівателів) </t>
  </si>
  <si>
    <r>
      <t xml:space="preserve">Заходи у рамках Програми забезпечення діяльності та виконання доручень виборців депутатами Чернігівської міської ради на 2019 рік </t>
    </r>
    <r>
      <rPr>
        <b/>
        <sz val="14"/>
        <rFont val="Times New Roman"/>
        <family val="1"/>
      </rPr>
      <t>(КЕКВ 3110, 3132)</t>
    </r>
    <r>
      <rPr>
        <sz val="14"/>
        <rFont val="Times New Roman"/>
        <family val="1"/>
      </rPr>
      <t xml:space="preserve"> в тому числі:</t>
    </r>
  </si>
  <si>
    <t>Капітальний ремонт мереж зовнішнього освітлення по вул. 1-го Травня від перехрестя з вул. Генерала Бєлова до вул. 77 Гвардійської Дивізії</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</si>
</sst>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_ ;[Red]\-#,##0\ "/>
    <numFmt numFmtId="178" formatCode="0_ ;[Red]\-0\ "/>
    <numFmt numFmtId="179" formatCode="0.0"/>
    <numFmt numFmtId="180" formatCode="#,##0.00&quot;р.&quot;"/>
    <numFmt numFmtId="181" formatCode="_-* #,##0_р_._-;\-* #,##0_р_._-;_-* &quot;-&quot;??_р_._-;_-@_-"/>
    <numFmt numFmtId="182" formatCode="_-* #,##0.0_р_._-;\-* #,##0.0_р_._-;_-* &quot;-&quot;??_р_._-;_-@_-"/>
    <numFmt numFmtId="183" formatCode="#,##0.00_ ;\-#,##0.00\ "/>
    <numFmt numFmtId="184" formatCode="0.00_ ;\-0.00\ "/>
  </numFmts>
  <fonts count="47">
    <font>
      <sz val="10"/>
      <name val="Arial Cyr"/>
      <family val="0"/>
    </font>
    <font>
      <sz val="8"/>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18"/>
      <name val="Times New Roman"/>
      <family val="1"/>
    </font>
    <font>
      <sz val="18"/>
      <name val="Arial Cyr"/>
      <family val="0"/>
    </font>
    <font>
      <b/>
      <i/>
      <sz val="14"/>
      <name val="Times New Roman"/>
      <family val="1"/>
    </font>
    <font>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74">
    <xf numFmtId="0" fontId="0" fillId="0" borderId="0" xfId="0" applyAlignment="1">
      <alignment/>
    </xf>
    <xf numFmtId="0" fontId="2" fillId="0" borderId="0" xfId="0" applyFont="1" applyAlignment="1">
      <alignment/>
    </xf>
    <xf numFmtId="0" fontId="3" fillId="0" borderId="0" xfId="0" applyFont="1" applyBorder="1" applyAlignment="1">
      <alignment/>
    </xf>
    <xf numFmtId="0" fontId="3" fillId="0" borderId="0" xfId="0" applyFont="1" applyAlignment="1">
      <alignment/>
    </xf>
    <xf numFmtId="2" fontId="0" fillId="0" borderId="0" xfId="0" applyNumberFormat="1" applyAlignment="1">
      <alignment/>
    </xf>
    <xf numFmtId="0" fontId="3" fillId="33" borderId="10" xfId="0" applyFont="1" applyFill="1" applyBorder="1" applyAlignment="1">
      <alignment horizontal="center" vertical="center" wrapText="1"/>
    </xf>
    <xf numFmtId="4" fontId="3" fillId="0" borderId="0" xfId="0" applyNumberFormat="1" applyFont="1" applyAlignment="1">
      <alignment/>
    </xf>
    <xf numFmtId="0" fontId="3" fillId="33" borderId="0" xfId="0" applyFont="1" applyFill="1" applyAlignment="1">
      <alignment/>
    </xf>
    <xf numFmtId="4" fontId="3" fillId="33" borderId="0" xfId="0" applyNumberFormat="1" applyFont="1" applyFill="1" applyAlignment="1">
      <alignment/>
    </xf>
    <xf numFmtId="0" fontId="0" fillId="33" borderId="0" xfId="0" applyFill="1" applyAlignment="1">
      <alignment/>
    </xf>
    <xf numFmtId="0" fontId="3" fillId="34" borderId="10" xfId="0" applyFont="1" applyFill="1" applyBorder="1" applyAlignment="1">
      <alignment wrapText="1"/>
    </xf>
    <xf numFmtId="0" fontId="3" fillId="34" borderId="10" xfId="0" applyFont="1" applyFill="1" applyBorder="1" applyAlignment="1">
      <alignment vertical="top" wrapText="1"/>
    </xf>
    <xf numFmtId="0" fontId="3" fillId="34" borderId="10" xfId="0" applyFont="1" applyFill="1" applyBorder="1" applyAlignment="1">
      <alignment vertical="center" wrapText="1"/>
    </xf>
    <xf numFmtId="4" fontId="3" fillId="34" borderId="10" xfId="0" applyNumberFormat="1" applyFont="1" applyFill="1" applyBorder="1" applyAlignment="1">
      <alignment horizontal="right" vertical="center" wrapText="1"/>
    </xf>
    <xf numFmtId="49"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wrapText="1"/>
    </xf>
    <xf numFmtId="2" fontId="3" fillId="34" borderId="10" xfId="0" applyNumberFormat="1" applyFont="1" applyFill="1" applyBorder="1" applyAlignment="1">
      <alignment horizontal="center" vertical="center" wrapText="1"/>
    </xf>
    <xf numFmtId="2" fontId="3" fillId="34" borderId="10" xfId="0" applyNumberFormat="1" applyFont="1" applyFill="1" applyBorder="1" applyAlignment="1">
      <alignment horizontal="right" vertical="center" wrapText="1"/>
    </xf>
    <xf numFmtId="49" fontId="3" fillId="34" borderId="10" xfId="0" applyNumberFormat="1" applyFont="1" applyFill="1" applyBorder="1" applyAlignment="1">
      <alignment vertical="center" wrapText="1"/>
    </xf>
    <xf numFmtId="0" fontId="4" fillId="34" borderId="10" xfId="0" applyFont="1" applyFill="1" applyBorder="1" applyAlignment="1">
      <alignment horizontal="center" vertical="center" wrapText="1"/>
    </xf>
    <xf numFmtId="4" fontId="3" fillId="34" borderId="10" xfId="0" applyNumberFormat="1" applyFont="1" applyFill="1" applyBorder="1" applyAlignment="1">
      <alignment vertical="center" wrapText="1"/>
    </xf>
    <xf numFmtId="4" fontId="4" fillId="34" borderId="10" xfId="0" applyNumberFormat="1" applyFont="1" applyFill="1" applyBorder="1" applyAlignment="1">
      <alignment horizontal="right" vertical="center" wrapText="1"/>
    </xf>
    <xf numFmtId="49" fontId="3" fillId="34" borderId="11" xfId="0" applyNumberFormat="1" applyFont="1" applyFill="1" applyBorder="1" applyAlignment="1">
      <alignment horizontal="center" vertical="center" wrapText="1"/>
    </xf>
    <xf numFmtId="0" fontId="3" fillId="34" borderId="10" xfId="0" applyFont="1" applyFill="1" applyBorder="1" applyAlignment="1">
      <alignment horizontal="left" vertical="center"/>
    </xf>
    <xf numFmtId="49" fontId="3" fillId="34" borderId="10" xfId="0" applyNumberFormat="1" applyFont="1" applyFill="1" applyBorder="1" applyAlignment="1">
      <alignment horizontal="center" vertical="top" wrapText="1"/>
    </xf>
    <xf numFmtId="4" fontId="46" fillId="34" borderId="0" xfId="0" applyNumberFormat="1" applyFont="1" applyFill="1" applyAlignment="1">
      <alignment/>
    </xf>
    <xf numFmtId="0" fontId="3" fillId="34" borderId="12" xfId="0" applyFont="1" applyFill="1" applyBorder="1" applyAlignment="1">
      <alignment horizontal="left" vertical="center" wrapText="1"/>
    </xf>
    <xf numFmtId="2" fontId="3" fillId="34" borderId="12" xfId="0" applyNumberFormat="1" applyFont="1" applyFill="1" applyBorder="1" applyAlignment="1">
      <alignment horizontal="left" vertical="center" wrapText="1"/>
    </xf>
    <xf numFmtId="2" fontId="3" fillId="34" borderId="10" xfId="0" applyNumberFormat="1" applyFont="1" applyFill="1" applyBorder="1" applyAlignment="1">
      <alignment vertical="center" wrapText="1"/>
    </xf>
    <xf numFmtId="2" fontId="3" fillId="34" borderId="13" xfId="0" applyNumberFormat="1" applyFont="1" applyFill="1" applyBorder="1" applyAlignment="1">
      <alignment horizontal="left" vertical="center" wrapText="1"/>
    </xf>
    <xf numFmtId="0" fontId="4" fillId="34" borderId="10" xfId="0" applyFont="1" applyFill="1" applyBorder="1" applyAlignment="1">
      <alignment wrapText="1"/>
    </xf>
    <xf numFmtId="0" fontId="3" fillId="34" borderId="10" xfId="0" applyFont="1" applyFill="1" applyBorder="1" applyAlignment="1">
      <alignment horizontal="left" vertical="center" wrapText="1"/>
    </xf>
    <xf numFmtId="49" fontId="3" fillId="34" borderId="12" xfId="0" applyNumberFormat="1" applyFont="1" applyFill="1" applyBorder="1" applyAlignment="1">
      <alignment horizontal="center" vertical="center" wrapText="1"/>
    </xf>
    <xf numFmtId="4" fontId="3" fillId="34" borderId="12" xfId="0" applyNumberFormat="1" applyFont="1" applyFill="1" applyBorder="1" applyAlignment="1">
      <alignment horizontal="right" vertical="center" wrapText="1"/>
    </xf>
    <xf numFmtId="4" fontId="3" fillId="34" borderId="10" xfId="0" applyNumberFormat="1" applyFont="1" applyFill="1" applyBorder="1" applyAlignment="1">
      <alignment horizontal="right" wrapText="1"/>
    </xf>
    <xf numFmtId="4" fontId="3" fillId="34" borderId="10" xfId="0" applyNumberFormat="1" applyFont="1" applyFill="1" applyBorder="1" applyAlignment="1">
      <alignment vertical="center"/>
    </xf>
    <xf numFmtId="4" fontId="3" fillId="34" borderId="14" xfId="0" applyNumberFormat="1" applyFont="1" applyFill="1" applyBorder="1" applyAlignment="1">
      <alignment horizontal="right" vertical="center" wrapText="1"/>
    </xf>
    <xf numFmtId="0" fontId="3" fillId="0" borderId="0" xfId="0" applyFont="1" applyAlignment="1">
      <alignment/>
    </xf>
    <xf numFmtId="0" fontId="3" fillId="34" borderId="10" xfId="0" applyNumberFormat="1" applyFont="1" applyFill="1" applyBorder="1" applyAlignment="1">
      <alignment horizontal="left" vertical="center" wrapText="1"/>
    </xf>
    <xf numFmtId="4" fontId="2" fillId="33" borderId="0" xfId="0" applyNumberFormat="1" applyFont="1" applyFill="1" applyAlignment="1">
      <alignment/>
    </xf>
    <xf numFmtId="0" fontId="7" fillId="34" borderId="0" xfId="0" applyFont="1" applyFill="1" applyBorder="1" applyAlignment="1">
      <alignment/>
    </xf>
    <xf numFmtId="0" fontId="3" fillId="34" borderId="11" xfId="0" applyFont="1" applyFill="1" applyBorder="1" applyAlignment="1">
      <alignment horizontal="center" wrapText="1"/>
    </xf>
    <xf numFmtId="0" fontId="3" fillId="34" borderId="12" xfId="0" applyFont="1" applyFill="1" applyBorder="1" applyAlignment="1">
      <alignment vertical="center" wrapText="1"/>
    </xf>
    <xf numFmtId="0" fontId="3" fillId="34" borderId="10" xfId="0" applyNumberFormat="1" applyFont="1" applyFill="1" applyBorder="1" applyAlignment="1">
      <alignment vertical="center" wrapText="1"/>
    </xf>
    <xf numFmtId="0" fontId="3" fillId="34" borderId="15" xfId="0" applyFont="1" applyFill="1" applyBorder="1" applyAlignment="1">
      <alignment vertical="center" wrapText="1"/>
    </xf>
    <xf numFmtId="0" fontId="3" fillId="34" borderId="0" xfId="0" applyFont="1" applyFill="1" applyAlignment="1">
      <alignment vertical="center" wrapText="1"/>
    </xf>
    <xf numFmtId="0" fontId="7" fillId="34" borderId="0" xfId="0" applyFont="1" applyFill="1" applyBorder="1" applyAlignment="1">
      <alignment vertical="center" wrapText="1"/>
    </xf>
    <xf numFmtId="4" fontId="7" fillId="34" borderId="0" xfId="0" applyNumberFormat="1" applyFont="1" applyFill="1" applyBorder="1" applyAlignment="1">
      <alignment horizontal="right" vertical="center" wrapText="1"/>
    </xf>
    <xf numFmtId="0" fontId="4" fillId="34" borderId="12" xfId="0" applyFont="1" applyFill="1" applyBorder="1" applyAlignment="1">
      <alignment horizontal="center" vertical="center" wrapText="1"/>
    </xf>
    <xf numFmtId="0" fontId="3" fillId="34" borderId="10" xfId="0" applyFont="1" applyFill="1" applyBorder="1" applyAlignment="1">
      <alignment horizontal="left" wrapText="1"/>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2" xfId="0" applyFont="1" applyFill="1" applyBorder="1" applyAlignment="1">
      <alignment horizontal="left" wrapText="1"/>
    </xf>
    <xf numFmtId="0" fontId="3" fillId="34" borderId="11" xfId="0" applyFont="1" applyFill="1" applyBorder="1" applyAlignment="1">
      <alignment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xf>
    <xf numFmtId="0" fontId="3" fillId="0" borderId="0" xfId="0" applyFont="1" applyAlignment="1">
      <alignment vertical="center" wrapText="1"/>
    </xf>
    <xf numFmtId="0" fontId="3" fillId="0" borderId="15" xfId="0" applyFont="1" applyBorder="1" applyAlignment="1">
      <alignment vertical="center" wrapText="1"/>
    </xf>
    <xf numFmtId="0" fontId="3" fillId="34" borderId="15" xfId="0" applyFont="1" applyFill="1" applyBorder="1" applyAlignment="1">
      <alignment wrapText="1"/>
    </xf>
    <xf numFmtId="0" fontId="3" fillId="34" borderId="16" xfId="0" applyFont="1" applyFill="1" applyBorder="1" applyAlignment="1">
      <alignment horizontal="left"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xf>
    <xf numFmtId="0" fontId="3" fillId="34" borderId="15" xfId="0" applyFont="1" applyFill="1" applyBorder="1" applyAlignment="1">
      <alignment horizontal="center" wrapText="1"/>
    </xf>
    <xf numFmtId="0" fontId="3" fillId="34" borderId="14" xfId="0" applyFont="1" applyFill="1" applyBorder="1" applyAlignment="1">
      <alignment horizontal="center" wrapText="1"/>
    </xf>
    <xf numFmtId="0" fontId="7" fillId="34" borderId="0" xfId="0" applyFont="1" applyFill="1" applyBorder="1" applyAlignment="1">
      <alignment horizontal="left" wrapText="1"/>
    </xf>
    <xf numFmtId="0" fontId="0" fillId="34" borderId="0" xfId="0" applyFont="1" applyFill="1" applyAlignment="1">
      <alignment/>
    </xf>
    <xf numFmtId="0" fontId="3" fillId="34" borderId="10" xfId="0" applyFont="1" applyFill="1" applyBorder="1" applyAlignment="1">
      <alignment horizontal="center" vertical="center"/>
    </xf>
    <xf numFmtId="4" fontId="7" fillId="34" borderId="17" xfId="0" applyNumberFormat="1" applyFont="1" applyFill="1" applyBorder="1" applyAlignment="1">
      <alignment horizontal="center" vertical="center" wrapText="1"/>
    </xf>
    <xf numFmtId="0" fontId="0" fillId="34" borderId="10" xfId="0" applyFont="1" applyFill="1" applyBorder="1" applyAlignment="1">
      <alignment horizontal="center" wrapText="1"/>
    </xf>
    <xf numFmtId="0" fontId="7" fillId="34" borderId="0" xfId="0" applyFont="1" applyFill="1" applyBorder="1" applyAlignment="1">
      <alignment horizontal="center" wrapText="1"/>
    </xf>
    <xf numFmtId="0" fontId="8" fillId="34" borderId="0" xfId="0" applyFont="1" applyFill="1" applyAlignment="1">
      <alignment/>
    </xf>
    <xf numFmtId="0" fontId="3" fillId="34" borderId="1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76"/>
  <sheetViews>
    <sheetView tabSelected="1" view="pageBreakPreview" zoomScale="75" zoomScaleNormal="112" zoomScaleSheetLayoutView="75" workbookViewId="0" topLeftCell="A220">
      <selection activeCell="C225" sqref="C225"/>
    </sheetView>
  </sheetViews>
  <sheetFormatPr defaultColWidth="9.00390625" defaultRowHeight="12.75"/>
  <cols>
    <col min="1" max="1" width="13.25390625" style="0" customWidth="1"/>
    <col min="2" max="2" width="63.00390625" style="0" customWidth="1"/>
    <col min="3" max="5" width="21.75390625" style="0" customWidth="1"/>
    <col min="6" max="6" width="16.00390625" style="0" customWidth="1"/>
    <col min="7" max="7" width="15.375" style="0" customWidth="1"/>
  </cols>
  <sheetData>
    <row r="1" spans="1:5" s="1" customFormat="1" ht="96" customHeight="1">
      <c r="A1" s="40"/>
      <c r="B1" s="40"/>
      <c r="C1" s="64" t="s">
        <v>495</v>
      </c>
      <c r="D1" s="65"/>
      <c r="E1" s="65"/>
    </row>
    <row r="2" spans="1:5" s="3" customFormat="1" ht="33" customHeight="1">
      <c r="A2" s="40"/>
      <c r="B2" s="69" t="s">
        <v>128</v>
      </c>
      <c r="C2" s="70"/>
      <c r="D2" s="70"/>
      <c r="E2" s="70"/>
    </row>
    <row r="3" spans="1:5" s="3" customFormat="1" ht="5.25" customHeight="1">
      <c r="A3" s="40"/>
      <c r="B3" s="40"/>
      <c r="C3" s="40"/>
      <c r="D3" s="40"/>
      <c r="E3" s="40"/>
    </row>
    <row r="4" spans="1:5" s="2" customFormat="1" ht="30.75" customHeight="1">
      <c r="A4" s="60" t="s">
        <v>9</v>
      </c>
      <c r="B4" s="60" t="s">
        <v>7</v>
      </c>
      <c r="C4" s="60" t="s">
        <v>13</v>
      </c>
      <c r="D4" s="60" t="s">
        <v>0</v>
      </c>
      <c r="E4" s="60"/>
    </row>
    <row r="5" spans="1:5" s="2" customFormat="1" ht="27.75" customHeight="1">
      <c r="A5" s="60"/>
      <c r="B5" s="60"/>
      <c r="C5" s="60"/>
      <c r="D5" s="66" t="s">
        <v>8</v>
      </c>
      <c r="E5" s="66"/>
    </row>
    <row r="6" spans="1:5" s="2" customFormat="1" ht="56.25" customHeight="1">
      <c r="A6" s="60"/>
      <c r="B6" s="60"/>
      <c r="C6" s="60"/>
      <c r="D6" s="51" t="s">
        <v>14</v>
      </c>
      <c r="E6" s="51" t="s">
        <v>15</v>
      </c>
    </row>
    <row r="7" spans="1:5" s="3" customFormat="1" ht="18.75">
      <c r="A7" s="50">
        <v>1</v>
      </c>
      <c r="B7" s="50">
        <v>2</v>
      </c>
      <c r="C7" s="50">
        <v>3</v>
      </c>
      <c r="D7" s="50">
        <v>4</v>
      </c>
      <c r="E7" s="50">
        <v>5</v>
      </c>
    </row>
    <row r="8" spans="1:5" s="3" customFormat="1" ht="21.75" customHeight="1">
      <c r="A8" s="41" t="s">
        <v>154</v>
      </c>
      <c r="B8" s="62" t="s">
        <v>153</v>
      </c>
      <c r="C8" s="62"/>
      <c r="D8" s="62"/>
      <c r="E8" s="63"/>
    </row>
    <row r="9" spans="1:5" s="3" customFormat="1" ht="48" customHeight="1">
      <c r="A9" s="14" t="s">
        <v>10</v>
      </c>
      <c r="B9" s="12" t="s">
        <v>131</v>
      </c>
      <c r="C9" s="13">
        <f>5716679.61</f>
        <v>5716679.61</v>
      </c>
      <c r="D9" s="13">
        <f>C9</f>
        <v>5716679.61</v>
      </c>
      <c r="E9" s="15"/>
    </row>
    <row r="10" spans="1:5" s="3" customFormat="1" ht="40.5" customHeight="1">
      <c r="A10" s="14" t="s">
        <v>11</v>
      </c>
      <c r="B10" s="12" t="s">
        <v>132</v>
      </c>
      <c r="C10" s="13">
        <f>9365.28</f>
        <v>9365.28</v>
      </c>
      <c r="D10" s="13">
        <f>C10</f>
        <v>9365.28</v>
      </c>
      <c r="E10" s="15"/>
    </row>
    <row r="11" spans="1:5" s="3" customFormat="1" ht="66" customHeight="1">
      <c r="A11" s="14" t="s">
        <v>43</v>
      </c>
      <c r="B11" s="12" t="s">
        <v>133</v>
      </c>
      <c r="C11" s="13">
        <f>365075.4</f>
        <v>365075.4</v>
      </c>
      <c r="D11" s="13">
        <f aca="true" t="shared" si="0" ref="D11:D31">C11</f>
        <v>365075.4</v>
      </c>
      <c r="E11" s="15"/>
    </row>
    <row r="12" spans="1:5" s="3" customFormat="1" ht="39.75" customHeight="1">
      <c r="A12" s="14" t="s">
        <v>44</v>
      </c>
      <c r="B12" s="12" t="s">
        <v>134</v>
      </c>
      <c r="C12" s="13">
        <f>1005092.52</f>
        <v>1005092.52</v>
      </c>
      <c r="D12" s="13">
        <f t="shared" si="0"/>
        <v>1005092.52</v>
      </c>
      <c r="E12" s="15"/>
    </row>
    <row r="13" spans="1:5" s="3" customFormat="1" ht="63" customHeight="1">
      <c r="A13" s="14" t="s">
        <v>45</v>
      </c>
      <c r="B13" s="12" t="s">
        <v>135</v>
      </c>
      <c r="C13" s="13">
        <f>14594.75</f>
        <v>14594.75</v>
      </c>
      <c r="D13" s="13">
        <f t="shared" si="0"/>
        <v>14594.75</v>
      </c>
      <c r="E13" s="15"/>
    </row>
    <row r="14" spans="1:5" s="3" customFormat="1" ht="45" customHeight="1">
      <c r="A14" s="14" t="s">
        <v>46</v>
      </c>
      <c r="B14" s="12" t="s">
        <v>136</v>
      </c>
      <c r="C14" s="13">
        <f>88947.61+100000</f>
        <v>188947.61</v>
      </c>
      <c r="D14" s="13">
        <f t="shared" si="0"/>
        <v>188947.61</v>
      </c>
      <c r="E14" s="15"/>
    </row>
    <row r="15" spans="1:5" s="3" customFormat="1" ht="39.75" customHeight="1">
      <c r="A15" s="14" t="s">
        <v>47</v>
      </c>
      <c r="B15" s="12" t="s">
        <v>137</v>
      </c>
      <c r="C15" s="13">
        <f>34958+14073.07</f>
        <v>49031.07</v>
      </c>
      <c r="D15" s="13">
        <f t="shared" si="0"/>
        <v>49031.07</v>
      </c>
      <c r="E15" s="15"/>
    </row>
    <row r="16" spans="1:5" s="3" customFormat="1" ht="40.5" customHeight="1">
      <c r="A16" s="14" t="s">
        <v>48</v>
      </c>
      <c r="B16" s="18" t="s">
        <v>138</v>
      </c>
      <c r="C16" s="13">
        <f>7576.96</f>
        <v>7576.96</v>
      </c>
      <c r="D16" s="13">
        <f t="shared" si="0"/>
        <v>7576.96</v>
      </c>
      <c r="E16" s="15"/>
    </row>
    <row r="17" spans="1:5" s="3" customFormat="1" ht="40.5" customHeight="1">
      <c r="A17" s="14" t="s">
        <v>49</v>
      </c>
      <c r="B17" s="30" t="s">
        <v>38</v>
      </c>
      <c r="C17" s="13">
        <f>C18+C19+C20+C21+C22+C23+C24+C25+C26+C27+C28+C29+C30+C31</f>
        <v>1351541.11</v>
      </c>
      <c r="D17" s="13">
        <f t="shared" si="0"/>
        <v>1351541.11</v>
      </c>
      <c r="E17" s="15"/>
    </row>
    <row r="18" spans="1:5" s="3" customFormat="1" ht="46.5" customHeight="1">
      <c r="A18" s="14" t="s">
        <v>247</v>
      </c>
      <c r="B18" s="31" t="s">
        <v>139</v>
      </c>
      <c r="C18" s="34">
        <f>89550</f>
        <v>89550</v>
      </c>
      <c r="D18" s="13">
        <f t="shared" si="0"/>
        <v>89550</v>
      </c>
      <c r="E18" s="15"/>
    </row>
    <row r="19" spans="1:5" s="3" customFormat="1" ht="43.5" customHeight="1">
      <c r="A19" s="14" t="s">
        <v>249</v>
      </c>
      <c r="B19" s="31" t="s">
        <v>140</v>
      </c>
      <c r="C19" s="13">
        <f>89910</f>
        <v>89910</v>
      </c>
      <c r="D19" s="13">
        <f t="shared" si="0"/>
        <v>89910</v>
      </c>
      <c r="E19" s="15"/>
    </row>
    <row r="20" spans="1:5" s="3" customFormat="1" ht="68.25" customHeight="1">
      <c r="A20" s="14" t="s">
        <v>250</v>
      </c>
      <c r="B20" s="31" t="s">
        <v>141</v>
      </c>
      <c r="C20" s="13">
        <v>145000</v>
      </c>
      <c r="D20" s="13">
        <f t="shared" si="0"/>
        <v>145000</v>
      </c>
      <c r="E20" s="15"/>
    </row>
    <row r="21" spans="1:5" s="3" customFormat="1" ht="62.25" customHeight="1">
      <c r="A21" s="14" t="s">
        <v>251</v>
      </c>
      <c r="B21" s="26" t="s">
        <v>142</v>
      </c>
      <c r="C21" s="13">
        <f>28476</f>
        <v>28476</v>
      </c>
      <c r="D21" s="13">
        <f t="shared" si="0"/>
        <v>28476</v>
      </c>
      <c r="E21" s="15"/>
    </row>
    <row r="22" spans="1:5" s="3" customFormat="1" ht="100.5" customHeight="1">
      <c r="A22" s="14" t="s">
        <v>252</v>
      </c>
      <c r="B22" s="26" t="s">
        <v>143</v>
      </c>
      <c r="C22" s="13">
        <f>118688.46</f>
        <v>118688.46</v>
      </c>
      <c r="D22" s="13">
        <f t="shared" si="0"/>
        <v>118688.46</v>
      </c>
      <c r="E22" s="15"/>
    </row>
    <row r="23" spans="1:5" s="3" customFormat="1" ht="75" customHeight="1">
      <c r="A23" s="14" t="s">
        <v>253</v>
      </c>
      <c r="B23" s="12" t="s">
        <v>144</v>
      </c>
      <c r="C23" s="13">
        <f>189720.78</f>
        <v>189720.78</v>
      </c>
      <c r="D23" s="13">
        <f t="shared" si="0"/>
        <v>189720.78</v>
      </c>
      <c r="E23" s="15"/>
    </row>
    <row r="24" spans="1:5" s="3" customFormat="1" ht="44.25" customHeight="1">
      <c r="A24" s="14" t="s">
        <v>254</v>
      </c>
      <c r="B24" s="26" t="s">
        <v>145</v>
      </c>
      <c r="C24" s="13">
        <f>66468.26</f>
        <v>66468.26</v>
      </c>
      <c r="D24" s="13">
        <f t="shared" si="0"/>
        <v>66468.26</v>
      </c>
      <c r="E24" s="15"/>
    </row>
    <row r="25" spans="1:5" s="3" customFormat="1" ht="127.5" customHeight="1">
      <c r="A25" s="14" t="s">
        <v>255</v>
      </c>
      <c r="B25" s="12" t="s">
        <v>146</v>
      </c>
      <c r="C25" s="33">
        <v>6339.9</v>
      </c>
      <c r="D25" s="13">
        <f t="shared" si="0"/>
        <v>6339.9</v>
      </c>
      <c r="E25" s="15"/>
    </row>
    <row r="26" spans="1:5" s="3" customFormat="1" ht="117" customHeight="1">
      <c r="A26" s="14" t="s">
        <v>256</v>
      </c>
      <c r="B26" s="12" t="s">
        <v>147</v>
      </c>
      <c r="C26" s="33">
        <v>6339.9</v>
      </c>
      <c r="D26" s="13">
        <f t="shared" si="0"/>
        <v>6339.9</v>
      </c>
      <c r="E26" s="15"/>
    </row>
    <row r="27" spans="1:5" s="3" customFormat="1" ht="63" customHeight="1">
      <c r="A27" s="14" t="s">
        <v>248</v>
      </c>
      <c r="B27" s="27" t="s">
        <v>148</v>
      </c>
      <c r="C27" s="13">
        <v>118213</v>
      </c>
      <c r="D27" s="13">
        <f t="shared" si="0"/>
        <v>118213</v>
      </c>
      <c r="E27" s="15"/>
    </row>
    <row r="28" spans="1:5" s="3" customFormat="1" ht="42.75" customHeight="1">
      <c r="A28" s="14" t="s">
        <v>257</v>
      </c>
      <c r="B28" s="27" t="s">
        <v>149</v>
      </c>
      <c r="C28" s="13">
        <f>95635.01</f>
        <v>95635.01</v>
      </c>
      <c r="D28" s="13">
        <f t="shared" si="0"/>
        <v>95635.01</v>
      </c>
      <c r="E28" s="15"/>
    </row>
    <row r="29" spans="1:5" s="3" customFormat="1" ht="45" customHeight="1">
      <c r="A29" s="14" t="s">
        <v>258</v>
      </c>
      <c r="B29" s="28" t="s">
        <v>150</v>
      </c>
      <c r="C29" s="13">
        <f>137159.59</f>
        <v>137159.59</v>
      </c>
      <c r="D29" s="13">
        <f t="shared" si="0"/>
        <v>137159.59</v>
      </c>
      <c r="E29" s="15"/>
    </row>
    <row r="30" spans="1:5" s="3" customFormat="1" ht="60" customHeight="1">
      <c r="A30" s="14" t="s">
        <v>259</v>
      </c>
      <c r="B30" s="27" t="s">
        <v>151</v>
      </c>
      <c r="C30" s="13">
        <f>101249.72</f>
        <v>101249.72</v>
      </c>
      <c r="D30" s="13">
        <f t="shared" si="0"/>
        <v>101249.72</v>
      </c>
      <c r="E30" s="15"/>
    </row>
    <row r="31" spans="1:5" s="3" customFormat="1" ht="63" customHeight="1">
      <c r="A31" s="14" t="s">
        <v>260</v>
      </c>
      <c r="B31" s="27" t="s">
        <v>152</v>
      </c>
      <c r="C31" s="13">
        <f>158790.49</f>
        <v>158790.49</v>
      </c>
      <c r="D31" s="13">
        <f t="shared" si="0"/>
        <v>158790.49</v>
      </c>
      <c r="E31" s="15"/>
    </row>
    <row r="32" spans="1:5" s="3" customFormat="1" ht="31.5" customHeight="1">
      <c r="A32" s="14"/>
      <c r="B32" s="29" t="s">
        <v>187</v>
      </c>
      <c r="C32" s="13">
        <f>C9+C10+C11+C12+C13+C14+C15+C16+C17</f>
        <v>8707904.31</v>
      </c>
      <c r="D32" s="13">
        <f>D9+D10+D11+D12+D13+D14+D15+D16+D17</f>
        <v>8707904.31</v>
      </c>
      <c r="E32" s="15"/>
    </row>
    <row r="33" spans="1:5" s="3" customFormat="1" ht="20.25" customHeight="1">
      <c r="A33" s="14" t="s">
        <v>2</v>
      </c>
      <c r="B33" s="71" t="s">
        <v>24</v>
      </c>
      <c r="C33" s="72"/>
      <c r="D33" s="72"/>
      <c r="E33" s="73"/>
    </row>
    <row r="34" spans="1:5" s="3" customFormat="1" ht="29.25" customHeight="1">
      <c r="A34" s="14" t="s">
        <v>155</v>
      </c>
      <c r="B34" s="12" t="s">
        <v>27</v>
      </c>
      <c r="C34" s="13">
        <f>45320000</f>
        <v>45320000</v>
      </c>
      <c r="D34" s="13">
        <f>C34</f>
        <v>45320000</v>
      </c>
      <c r="E34" s="16"/>
    </row>
    <row r="35" spans="1:5" s="3" customFormat="1" ht="29.25" customHeight="1">
      <c r="A35" s="14" t="s">
        <v>156</v>
      </c>
      <c r="B35" s="12" t="s">
        <v>1</v>
      </c>
      <c r="C35" s="13">
        <f>190000</f>
        <v>190000</v>
      </c>
      <c r="D35" s="13">
        <f>C35</f>
        <v>190000</v>
      </c>
      <c r="E35" s="16" t="s">
        <v>58</v>
      </c>
    </row>
    <row r="36" spans="1:5" s="3" customFormat="1" ht="49.5" customHeight="1">
      <c r="A36" s="14" t="s">
        <v>157</v>
      </c>
      <c r="B36" s="12" t="s">
        <v>54</v>
      </c>
      <c r="C36" s="13">
        <f>3354166</f>
        <v>3354166</v>
      </c>
      <c r="D36" s="13">
        <f aca="true" t="shared" si="1" ref="D36:D59">C36</f>
        <v>3354166</v>
      </c>
      <c r="E36" s="17"/>
    </row>
    <row r="37" spans="1:5" s="3" customFormat="1" ht="28.5" customHeight="1">
      <c r="A37" s="14" t="s">
        <v>158</v>
      </c>
      <c r="B37" s="12" t="s">
        <v>28</v>
      </c>
      <c r="C37" s="13">
        <f>34265383</f>
        <v>34265383</v>
      </c>
      <c r="D37" s="13">
        <f t="shared" si="1"/>
        <v>34265383</v>
      </c>
      <c r="E37" s="17"/>
    </row>
    <row r="38" spans="1:5" s="3" customFormat="1" ht="32.25" customHeight="1">
      <c r="A38" s="14" t="s">
        <v>159</v>
      </c>
      <c r="B38" s="12" t="s">
        <v>12</v>
      </c>
      <c r="C38" s="13">
        <v>8024614</v>
      </c>
      <c r="D38" s="13">
        <f t="shared" si="1"/>
        <v>8024614</v>
      </c>
      <c r="E38" s="17"/>
    </row>
    <row r="39" spans="1:5" s="3" customFormat="1" ht="31.5" customHeight="1">
      <c r="A39" s="14" t="s">
        <v>160</v>
      </c>
      <c r="B39" s="12" t="s">
        <v>30</v>
      </c>
      <c r="C39" s="13">
        <v>92000</v>
      </c>
      <c r="D39" s="13">
        <f t="shared" si="1"/>
        <v>92000</v>
      </c>
      <c r="E39" s="17"/>
    </row>
    <row r="40" spans="1:5" s="3" customFormat="1" ht="67.5" customHeight="1">
      <c r="A40" s="14" t="s">
        <v>161</v>
      </c>
      <c r="B40" s="12" t="s">
        <v>29</v>
      </c>
      <c r="C40" s="13">
        <v>3370363</v>
      </c>
      <c r="D40" s="13">
        <f t="shared" si="1"/>
        <v>3370363</v>
      </c>
      <c r="E40" s="17"/>
    </row>
    <row r="41" spans="1:9" s="3" customFormat="1" ht="44.25" customHeight="1">
      <c r="A41" s="14" t="s">
        <v>162</v>
      </c>
      <c r="B41" s="12" t="s">
        <v>55</v>
      </c>
      <c r="C41" s="13">
        <f>1380000</f>
        <v>1380000</v>
      </c>
      <c r="D41" s="13">
        <f t="shared" si="1"/>
        <v>1380000</v>
      </c>
      <c r="E41" s="17"/>
      <c r="I41" s="5"/>
    </row>
    <row r="42" spans="1:5" s="3" customFormat="1" ht="48.75" customHeight="1">
      <c r="A42" s="14" t="s">
        <v>163</v>
      </c>
      <c r="B42" s="12" t="s">
        <v>397</v>
      </c>
      <c r="C42" s="13">
        <f>2998200-500000-59505</f>
        <v>2438695</v>
      </c>
      <c r="D42" s="13">
        <f t="shared" si="1"/>
        <v>2438695</v>
      </c>
      <c r="E42" s="17"/>
    </row>
    <row r="43" spans="1:5" s="3" customFormat="1" ht="53.25" customHeight="1">
      <c r="A43" s="14" t="s">
        <v>164</v>
      </c>
      <c r="B43" s="12" t="s">
        <v>57</v>
      </c>
      <c r="C43" s="13">
        <v>13600000</v>
      </c>
      <c r="D43" s="13">
        <f t="shared" si="1"/>
        <v>13600000</v>
      </c>
      <c r="E43" s="17"/>
    </row>
    <row r="44" spans="1:5" s="3" customFormat="1" ht="39" customHeight="1" hidden="1">
      <c r="A44" s="14" t="s">
        <v>165</v>
      </c>
      <c r="B44" s="31" t="s">
        <v>52</v>
      </c>
      <c r="C44" s="13">
        <f>1000000-1000000</f>
        <v>0</v>
      </c>
      <c r="D44" s="13">
        <f t="shared" si="1"/>
        <v>0</v>
      </c>
      <c r="E44" s="17"/>
    </row>
    <row r="45" spans="1:5" s="3" customFormat="1" ht="33.75" customHeight="1">
      <c r="A45" s="14" t="s">
        <v>165</v>
      </c>
      <c r="B45" s="12" t="s">
        <v>26</v>
      </c>
      <c r="C45" s="13">
        <f>150000+43600</f>
        <v>193600</v>
      </c>
      <c r="D45" s="13">
        <f t="shared" si="1"/>
        <v>193600</v>
      </c>
      <c r="E45" s="54"/>
    </row>
    <row r="46" spans="1:5" s="3" customFormat="1" ht="25.5" customHeight="1">
      <c r="A46" s="14" t="s">
        <v>166</v>
      </c>
      <c r="B46" s="18" t="s">
        <v>39</v>
      </c>
      <c r="C46" s="13">
        <f>701500</f>
        <v>701500</v>
      </c>
      <c r="D46" s="13">
        <f t="shared" si="1"/>
        <v>701500</v>
      </c>
      <c r="E46" s="17"/>
    </row>
    <row r="47" spans="1:5" s="3" customFormat="1" ht="38.25" customHeight="1">
      <c r="A47" s="14" t="s">
        <v>167</v>
      </c>
      <c r="B47" s="18" t="s">
        <v>52</v>
      </c>
      <c r="C47" s="13">
        <f>1000000-33860</f>
        <v>966140</v>
      </c>
      <c r="D47" s="13">
        <f t="shared" si="1"/>
        <v>966140</v>
      </c>
      <c r="E47" s="17"/>
    </row>
    <row r="48" spans="1:5" s="3" customFormat="1" ht="39" customHeight="1">
      <c r="A48" s="14" t="s">
        <v>168</v>
      </c>
      <c r="B48" s="10" t="s">
        <v>123</v>
      </c>
      <c r="C48" s="13">
        <v>190000</v>
      </c>
      <c r="D48" s="13">
        <f t="shared" si="1"/>
        <v>190000</v>
      </c>
      <c r="E48" s="17"/>
    </row>
    <row r="49" spans="1:5" s="3" customFormat="1" ht="39" customHeight="1">
      <c r="A49" s="14" t="s">
        <v>169</v>
      </c>
      <c r="B49" s="10" t="s">
        <v>124</v>
      </c>
      <c r="C49" s="13">
        <v>199000</v>
      </c>
      <c r="D49" s="13">
        <f t="shared" si="1"/>
        <v>199000</v>
      </c>
      <c r="E49" s="17"/>
    </row>
    <row r="50" spans="1:5" s="3" customFormat="1" ht="84" customHeight="1">
      <c r="A50" s="14" t="s">
        <v>170</v>
      </c>
      <c r="B50" s="31" t="s">
        <v>78</v>
      </c>
      <c r="C50" s="13">
        <f>2005500-472541-192034</f>
        <v>1340925</v>
      </c>
      <c r="D50" s="13">
        <f t="shared" si="1"/>
        <v>1340925</v>
      </c>
      <c r="E50" s="17"/>
    </row>
    <row r="51" spans="1:5" s="3" customFormat="1" ht="45.75" customHeight="1">
      <c r="A51" s="14" t="s">
        <v>171</v>
      </c>
      <c r="B51" s="31" t="s">
        <v>125</v>
      </c>
      <c r="C51" s="13">
        <f>806386-84606-20000</f>
        <v>701780</v>
      </c>
      <c r="D51" s="13">
        <f t="shared" si="1"/>
        <v>701780</v>
      </c>
      <c r="E51" s="17"/>
    </row>
    <row r="52" spans="1:5" s="3" customFormat="1" ht="40.5" customHeight="1">
      <c r="A52" s="14" t="s">
        <v>172</v>
      </c>
      <c r="B52" s="31" t="s">
        <v>129</v>
      </c>
      <c r="C52" s="13">
        <f>696000-1000</f>
        <v>695000</v>
      </c>
      <c r="D52" s="13">
        <f t="shared" si="1"/>
        <v>695000</v>
      </c>
      <c r="E52" s="17"/>
    </row>
    <row r="53" spans="1:5" s="3" customFormat="1" ht="46.5" customHeight="1">
      <c r="A53" s="14" t="s">
        <v>173</v>
      </c>
      <c r="B53" s="31" t="s">
        <v>130</v>
      </c>
      <c r="C53" s="13">
        <v>250000</v>
      </c>
      <c r="D53" s="13">
        <f t="shared" si="1"/>
        <v>250000</v>
      </c>
      <c r="E53" s="17"/>
    </row>
    <row r="54" spans="1:5" s="3" customFormat="1" ht="46.5" customHeight="1">
      <c r="A54" s="14" t="s">
        <v>174</v>
      </c>
      <c r="B54" s="31" t="s">
        <v>83</v>
      </c>
      <c r="C54" s="13">
        <f>577780-97414-13400</f>
        <v>466966</v>
      </c>
      <c r="D54" s="13">
        <f t="shared" si="1"/>
        <v>466966</v>
      </c>
      <c r="E54" s="17"/>
    </row>
    <row r="55" spans="1:5" s="3" customFormat="1" ht="41.25" customHeight="1">
      <c r="A55" s="14" t="s">
        <v>175</v>
      </c>
      <c r="B55" s="31" t="s">
        <v>276</v>
      </c>
      <c r="C55" s="13">
        <v>299000</v>
      </c>
      <c r="D55" s="13">
        <f t="shared" si="1"/>
        <v>299000</v>
      </c>
      <c r="E55" s="17"/>
    </row>
    <row r="56" spans="1:6" s="3" customFormat="1" ht="39.75" customHeight="1">
      <c r="A56" s="14" t="s">
        <v>176</v>
      </c>
      <c r="B56" s="30" t="s">
        <v>38</v>
      </c>
      <c r="C56" s="21">
        <f>2000000-197784+720000+1000000-20000-29200+1056083</f>
        <v>4529099</v>
      </c>
      <c r="D56" s="21">
        <f t="shared" si="1"/>
        <v>4529099</v>
      </c>
      <c r="E56" s="17"/>
      <c r="F56" s="6">
        <f>C57+C58+C59+C60+C61+C62+C63+C64+C65+C66+C67+C68+C69+C70+C71+C72+C73+C74+C75+C76+C77+C78+C79+C80+C81+C82+C83</f>
        <v>4247779</v>
      </c>
    </row>
    <row r="57" spans="1:5" s="3" customFormat="1" ht="263.25" customHeight="1">
      <c r="A57" s="14" t="s">
        <v>412</v>
      </c>
      <c r="B57" s="12" t="s">
        <v>180</v>
      </c>
      <c r="C57" s="13">
        <v>97000</v>
      </c>
      <c r="D57" s="13">
        <f t="shared" si="1"/>
        <v>97000</v>
      </c>
      <c r="E57" s="17"/>
    </row>
    <row r="58" spans="1:5" s="3" customFormat="1" ht="61.5" customHeight="1">
      <c r="A58" s="14" t="s">
        <v>413</v>
      </c>
      <c r="B58" s="12" t="s">
        <v>279</v>
      </c>
      <c r="C58" s="13">
        <v>1610</v>
      </c>
      <c r="D58" s="13">
        <f t="shared" si="1"/>
        <v>1610</v>
      </c>
      <c r="E58" s="17"/>
    </row>
    <row r="59" spans="1:5" s="3" customFormat="1" ht="211.5" customHeight="1">
      <c r="A59" s="14" t="s">
        <v>414</v>
      </c>
      <c r="B59" s="12" t="s">
        <v>393</v>
      </c>
      <c r="C59" s="13">
        <f>55000</f>
        <v>55000</v>
      </c>
      <c r="D59" s="13">
        <f t="shared" si="1"/>
        <v>55000</v>
      </c>
      <c r="E59" s="17" t="s">
        <v>58</v>
      </c>
    </row>
    <row r="60" spans="1:5" s="3" customFormat="1" ht="39" customHeight="1">
      <c r="A60" s="14" t="s">
        <v>415</v>
      </c>
      <c r="B60" s="12" t="s">
        <v>280</v>
      </c>
      <c r="C60" s="13">
        <v>2800</v>
      </c>
      <c r="D60" s="13">
        <f aca="true" t="shared" si="2" ref="D60:D85">C60</f>
        <v>2800</v>
      </c>
      <c r="E60" s="17"/>
    </row>
    <row r="61" spans="1:5" s="3" customFormat="1" ht="63.75" customHeight="1">
      <c r="A61" s="14" t="s">
        <v>416</v>
      </c>
      <c r="B61" s="12" t="s">
        <v>281</v>
      </c>
      <c r="C61" s="13">
        <v>77000</v>
      </c>
      <c r="D61" s="13">
        <f t="shared" si="2"/>
        <v>77000</v>
      </c>
      <c r="E61" s="17"/>
    </row>
    <row r="62" spans="1:5" s="3" customFormat="1" ht="37.5" customHeight="1">
      <c r="A62" s="14" t="s">
        <v>417</v>
      </c>
      <c r="B62" s="12" t="s">
        <v>282</v>
      </c>
      <c r="C62" s="13">
        <v>35570</v>
      </c>
      <c r="D62" s="13">
        <f t="shared" si="2"/>
        <v>35570</v>
      </c>
      <c r="E62" s="17"/>
    </row>
    <row r="63" spans="1:5" s="3" customFormat="1" ht="28.5" customHeight="1">
      <c r="A63" s="14" t="s">
        <v>418</v>
      </c>
      <c r="B63" s="12" t="s">
        <v>358</v>
      </c>
      <c r="C63" s="13">
        <f>27300</f>
        <v>27300</v>
      </c>
      <c r="D63" s="13">
        <f t="shared" si="2"/>
        <v>27300</v>
      </c>
      <c r="E63" s="17"/>
    </row>
    <row r="64" spans="1:5" s="3" customFormat="1" ht="47.25" customHeight="1">
      <c r="A64" s="14" t="s">
        <v>419</v>
      </c>
      <c r="B64" s="12" t="s">
        <v>359</v>
      </c>
      <c r="C64" s="13">
        <v>68535</v>
      </c>
      <c r="D64" s="13">
        <f t="shared" si="2"/>
        <v>68535</v>
      </c>
      <c r="E64" s="17"/>
    </row>
    <row r="65" spans="1:5" s="3" customFormat="1" ht="82.5" customHeight="1">
      <c r="A65" s="14" t="s">
        <v>420</v>
      </c>
      <c r="B65" s="10" t="s">
        <v>391</v>
      </c>
      <c r="C65" s="13">
        <f>6480</f>
        <v>6480</v>
      </c>
      <c r="D65" s="13">
        <f t="shared" si="2"/>
        <v>6480</v>
      </c>
      <c r="E65" s="17"/>
    </row>
    <row r="66" spans="1:8" s="3" customFormat="1" ht="93.75" customHeight="1">
      <c r="A66" s="14" t="s">
        <v>421</v>
      </c>
      <c r="B66" s="10" t="s">
        <v>392</v>
      </c>
      <c r="C66" s="13">
        <f>12960+17815</f>
        <v>30775</v>
      </c>
      <c r="D66" s="13">
        <f t="shared" si="2"/>
        <v>30775</v>
      </c>
      <c r="E66" s="17"/>
      <c r="H66" s="3" t="s">
        <v>58</v>
      </c>
    </row>
    <row r="67" spans="1:5" s="3" customFormat="1" ht="177" customHeight="1">
      <c r="A67" s="14" t="s">
        <v>422</v>
      </c>
      <c r="B67" s="12" t="s">
        <v>398</v>
      </c>
      <c r="C67" s="13">
        <v>6000</v>
      </c>
      <c r="D67" s="13">
        <f t="shared" si="2"/>
        <v>6000</v>
      </c>
      <c r="E67" s="17"/>
    </row>
    <row r="68" spans="1:5" s="3" customFormat="1" ht="177.75" customHeight="1">
      <c r="A68" s="14" t="s">
        <v>423</v>
      </c>
      <c r="B68" s="10" t="s">
        <v>399</v>
      </c>
      <c r="C68" s="13">
        <v>6000</v>
      </c>
      <c r="D68" s="13">
        <f t="shared" si="2"/>
        <v>6000</v>
      </c>
      <c r="E68" s="17"/>
    </row>
    <row r="69" spans="1:5" s="3" customFormat="1" ht="171.75" customHeight="1">
      <c r="A69" s="14" t="s">
        <v>424</v>
      </c>
      <c r="B69" s="12" t="s">
        <v>400</v>
      </c>
      <c r="C69" s="13">
        <v>6000</v>
      </c>
      <c r="D69" s="13">
        <f t="shared" si="2"/>
        <v>6000</v>
      </c>
      <c r="E69" s="17"/>
    </row>
    <row r="70" spans="1:5" s="3" customFormat="1" ht="177.75" customHeight="1">
      <c r="A70" s="14" t="s">
        <v>425</v>
      </c>
      <c r="B70" s="12" t="s">
        <v>401</v>
      </c>
      <c r="C70" s="13">
        <v>6000</v>
      </c>
      <c r="D70" s="13">
        <f t="shared" si="2"/>
        <v>6000</v>
      </c>
      <c r="E70" s="17"/>
    </row>
    <row r="71" spans="1:5" s="3" customFormat="1" ht="178.5" customHeight="1">
      <c r="A71" s="14" t="s">
        <v>426</v>
      </c>
      <c r="B71" s="42" t="s">
        <v>402</v>
      </c>
      <c r="C71" s="13">
        <v>6000</v>
      </c>
      <c r="D71" s="13">
        <f t="shared" si="2"/>
        <v>6000</v>
      </c>
      <c r="E71" s="17"/>
    </row>
    <row r="72" spans="1:5" s="3" customFormat="1" ht="183" customHeight="1">
      <c r="A72" s="14" t="s">
        <v>427</v>
      </c>
      <c r="B72" s="12" t="s">
        <v>403</v>
      </c>
      <c r="C72" s="13">
        <v>6000</v>
      </c>
      <c r="D72" s="13">
        <f t="shared" si="2"/>
        <v>6000</v>
      </c>
      <c r="E72" s="17"/>
    </row>
    <row r="73" spans="1:5" s="3" customFormat="1" ht="180" customHeight="1">
      <c r="A73" s="14" t="s">
        <v>428</v>
      </c>
      <c r="B73" s="12" t="s">
        <v>404</v>
      </c>
      <c r="C73" s="13">
        <v>6000</v>
      </c>
      <c r="D73" s="13">
        <f t="shared" si="2"/>
        <v>6000</v>
      </c>
      <c r="E73" s="17"/>
    </row>
    <row r="74" spans="1:5" s="3" customFormat="1" ht="54.75" customHeight="1">
      <c r="A74" s="14" t="s">
        <v>429</v>
      </c>
      <c r="B74" s="12" t="s">
        <v>406</v>
      </c>
      <c r="C74" s="13">
        <v>176830</v>
      </c>
      <c r="D74" s="13">
        <f>C74</f>
        <v>176830</v>
      </c>
      <c r="E74" s="17"/>
    </row>
    <row r="75" spans="1:5" s="3" customFormat="1" ht="251.25" customHeight="1">
      <c r="A75" s="14" t="s">
        <v>430</v>
      </c>
      <c r="B75" s="12" t="s">
        <v>405</v>
      </c>
      <c r="C75" s="13">
        <v>720000</v>
      </c>
      <c r="D75" s="13">
        <f t="shared" si="2"/>
        <v>720000</v>
      </c>
      <c r="E75" s="17"/>
    </row>
    <row r="76" spans="1:5" s="3" customFormat="1" ht="61.5" customHeight="1">
      <c r="A76" s="14" t="s">
        <v>434</v>
      </c>
      <c r="B76" s="12" t="s">
        <v>435</v>
      </c>
      <c r="C76" s="13">
        <v>180565</v>
      </c>
      <c r="D76" s="13">
        <f t="shared" si="2"/>
        <v>180565</v>
      </c>
      <c r="E76" s="17"/>
    </row>
    <row r="77" spans="1:5" s="3" customFormat="1" ht="61.5" customHeight="1">
      <c r="A77" s="14" t="s">
        <v>454</v>
      </c>
      <c r="B77" s="12" t="s">
        <v>455</v>
      </c>
      <c r="C77" s="13">
        <v>199000</v>
      </c>
      <c r="D77" s="13">
        <f t="shared" si="2"/>
        <v>199000</v>
      </c>
      <c r="E77" s="17"/>
    </row>
    <row r="78" spans="1:5" s="3" customFormat="1" ht="45.75" customHeight="1">
      <c r="A78" s="14" t="s">
        <v>458</v>
      </c>
      <c r="B78" s="12" t="s">
        <v>459</v>
      </c>
      <c r="C78" s="13">
        <f>1000000+1056083</f>
        <v>2056083</v>
      </c>
      <c r="D78" s="13">
        <f t="shared" si="2"/>
        <v>2056083</v>
      </c>
      <c r="E78" s="17"/>
    </row>
    <row r="79" spans="1:5" s="3" customFormat="1" ht="75.75" customHeight="1">
      <c r="A79" s="14" t="s">
        <v>465</v>
      </c>
      <c r="B79" s="12" t="s">
        <v>466</v>
      </c>
      <c r="C79" s="13">
        <f>189850</f>
        <v>189850</v>
      </c>
      <c r="D79" s="13">
        <f t="shared" si="2"/>
        <v>189850</v>
      </c>
      <c r="E79" s="17"/>
    </row>
    <row r="80" spans="1:5" s="3" customFormat="1" ht="75.75" customHeight="1">
      <c r="A80" s="14" t="s">
        <v>487</v>
      </c>
      <c r="B80" s="45" t="s">
        <v>489</v>
      </c>
      <c r="C80" s="13">
        <f>15565</f>
        <v>15565</v>
      </c>
      <c r="D80" s="13">
        <f t="shared" si="2"/>
        <v>15565</v>
      </c>
      <c r="E80" s="17"/>
    </row>
    <row r="81" spans="1:5" s="3" customFormat="1" ht="39.75" customHeight="1">
      <c r="A81" s="14" t="s">
        <v>488</v>
      </c>
      <c r="B81" s="12" t="s">
        <v>492</v>
      </c>
      <c r="C81" s="13">
        <f>460</f>
        <v>460</v>
      </c>
      <c r="D81" s="13">
        <f t="shared" si="2"/>
        <v>460</v>
      </c>
      <c r="E81" s="17"/>
    </row>
    <row r="82" spans="1:5" s="3" customFormat="1" ht="39.75" customHeight="1">
      <c r="A82" s="14" t="s">
        <v>502</v>
      </c>
      <c r="B82" s="12" t="s">
        <v>503</v>
      </c>
      <c r="C82" s="13">
        <f>147290</f>
        <v>147290</v>
      </c>
      <c r="D82" s="13">
        <f t="shared" si="2"/>
        <v>147290</v>
      </c>
      <c r="E82" s="17"/>
    </row>
    <row r="83" spans="1:5" s="3" customFormat="1" ht="39.75" customHeight="1">
      <c r="A83" s="14" t="s">
        <v>516</v>
      </c>
      <c r="B83" s="56" t="s">
        <v>517</v>
      </c>
      <c r="C83" s="13">
        <f>118066</f>
        <v>118066</v>
      </c>
      <c r="D83" s="13">
        <f t="shared" si="2"/>
        <v>118066</v>
      </c>
      <c r="E83" s="17"/>
    </row>
    <row r="84" spans="1:5" s="3" customFormat="1" ht="91.5" customHeight="1">
      <c r="A84" s="14" t="s">
        <v>431</v>
      </c>
      <c r="B84" s="31" t="s">
        <v>395</v>
      </c>
      <c r="C84" s="13">
        <f>472541+192034</f>
        <v>664575</v>
      </c>
      <c r="D84" s="13">
        <f t="shared" si="2"/>
        <v>664575</v>
      </c>
      <c r="E84" s="17"/>
    </row>
    <row r="85" spans="1:5" s="3" customFormat="1" ht="63.75" customHeight="1">
      <c r="A85" s="14" t="s">
        <v>480</v>
      </c>
      <c r="B85" s="31" t="s">
        <v>479</v>
      </c>
      <c r="C85" s="13">
        <f>40000</f>
        <v>40000</v>
      </c>
      <c r="D85" s="13">
        <f t="shared" si="2"/>
        <v>40000</v>
      </c>
      <c r="E85" s="17"/>
    </row>
    <row r="86" spans="1:5" s="37" customFormat="1" ht="44.25" customHeight="1">
      <c r="A86" s="18"/>
      <c r="B86" s="12" t="s">
        <v>478</v>
      </c>
      <c r="C86" s="20">
        <f>C34+C35+C36+C37+C38+C39+C40+C41+C42+C43+C45+C46+C47+C48+C49+C50+C51+C52+C53+C54+C55+C56+C84+C85</f>
        <v>123272806</v>
      </c>
      <c r="D86" s="20">
        <f aca="true" t="shared" si="3" ref="D86:D104">C86</f>
        <v>123272806</v>
      </c>
      <c r="E86" s="28"/>
    </row>
    <row r="87" spans="1:9" s="3" customFormat="1" ht="41.25" customHeight="1">
      <c r="A87" s="14" t="s">
        <v>16</v>
      </c>
      <c r="B87" s="12" t="s">
        <v>51</v>
      </c>
      <c r="C87" s="13">
        <v>105200</v>
      </c>
      <c r="D87" s="13">
        <f t="shared" si="3"/>
        <v>105200</v>
      </c>
      <c r="E87" s="54"/>
      <c r="G87" s="3" t="s">
        <v>58</v>
      </c>
      <c r="I87" s="3" t="s">
        <v>58</v>
      </c>
    </row>
    <row r="88" spans="1:5" s="3" customFormat="1" ht="20.25" customHeight="1">
      <c r="A88" s="14" t="s">
        <v>22</v>
      </c>
      <c r="B88" s="12" t="s">
        <v>56</v>
      </c>
      <c r="C88" s="13">
        <f>15872100+282390</f>
        <v>16154490</v>
      </c>
      <c r="D88" s="13">
        <f t="shared" si="3"/>
        <v>16154490</v>
      </c>
      <c r="E88" s="54"/>
    </row>
    <row r="89" spans="1:5" s="3" customFormat="1" ht="21" customHeight="1">
      <c r="A89" s="14" t="s">
        <v>23</v>
      </c>
      <c r="B89" s="12" t="s">
        <v>37</v>
      </c>
      <c r="C89" s="13">
        <v>25000</v>
      </c>
      <c r="D89" s="13">
        <f t="shared" si="3"/>
        <v>25000</v>
      </c>
      <c r="E89" s="54"/>
    </row>
    <row r="90" spans="1:5" s="3" customFormat="1" ht="23.25" customHeight="1">
      <c r="A90" s="14"/>
      <c r="B90" s="12" t="s">
        <v>179</v>
      </c>
      <c r="C90" s="13">
        <f>C88+C89+C87</f>
        <v>16284690</v>
      </c>
      <c r="D90" s="13">
        <f t="shared" si="3"/>
        <v>16284690</v>
      </c>
      <c r="E90" s="19"/>
    </row>
    <row r="91" spans="1:5" s="3" customFormat="1" ht="39.75" customHeight="1">
      <c r="A91" s="14" t="s">
        <v>177</v>
      </c>
      <c r="B91" s="12" t="s">
        <v>25</v>
      </c>
      <c r="C91" s="13">
        <v>35000</v>
      </c>
      <c r="D91" s="13">
        <f t="shared" si="3"/>
        <v>35000</v>
      </c>
      <c r="E91" s="19"/>
    </row>
    <row r="92" spans="1:5" s="3" customFormat="1" ht="24" customHeight="1">
      <c r="A92" s="14"/>
      <c r="B92" s="12" t="s">
        <v>178</v>
      </c>
      <c r="C92" s="13">
        <f>C91</f>
        <v>35000</v>
      </c>
      <c r="D92" s="13">
        <f t="shared" si="3"/>
        <v>35000</v>
      </c>
      <c r="E92" s="19"/>
    </row>
    <row r="93" spans="1:5" s="3" customFormat="1" ht="68.25" customHeight="1">
      <c r="A93" s="14" t="s">
        <v>365</v>
      </c>
      <c r="B93" s="12" t="s">
        <v>372</v>
      </c>
      <c r="C93" s="13">
        <f>C94+C95+C96+C97+C98+C99+C100+C101+C102</f>
        <v>127978</v>
      </c>
      <c r="D93" s="13">
        <f t="shared" si="3"/>
        <v>127978</v>
      </c>
      <c r="E93" s="19"/>
    </row>
    <row r="94" spans="1:5" s="3" customFormat="1" ht="59.25" customHeight="1">
      <c r="A94" s="14" t="s">
        <v>366</v>
      </c>
      <c r="B94" s="12" t="s">
        <v>368</v>
      </c>
      <c r="C94" s="13">
        <f>28528.5</f>
        <v>28528.5</v>
      </c>
      <c r="D94" s="13">
        <f t="shared" si="3"/>
        <v>28528.5</v>
      </c>
      <c r="E94" s="19"/>
    </row>
    <row r="95" spans="1:5" s="3" customFormat="1" ht="48.75" customHeight="1">
      <c r="A95" s="14" t="s">
        <v>367</v>
      </c>
      <c r="B95" s="12" t="s">
        <v>369</v>
      </c>
      <c r="C95" s="13">
        <f>10937</f>
        <v>10937</v>
      </c>
      <c r="D95" s="13">
        <f t="shared" si="3"/>
        <v>10937</v>
      </c>
      <c r="E95" s="19"/>
    </row>
    <row r="96" spans="1:5" s="3" customFormat="1" ht="45.75" customHeight="1">
      <c r="A96" s="14" t="s">
        <v>376</v>
      </c>
      <c r="B96" s="12" t="s">
        <v>377</v>
      </c>
      <c r="C96" s="13">
        <v>10253</v>
      </c>
      <c r="D96" s="13">
        <f t="shared" si="3"/>
        <v>10253</v>
      </c>
      <c r="E96" s="19"/>
    </row>
    <row r="97" spans="1:5" s="3" customFormat="1" ht="43.5" customHeight="1">
      <c r="A97" s="14" t="s">
        <v>448</v>
      </c>
      <c r="B97" s="12" t="s">
        <v>449</v>
      </c>
      <c r="C97" s="13">
        <f>4800</f>
        <v>4800</v>
      </c>
      <c r="D97" s="13">
        <f t="shared" si="3"/>
        <v>4800</v>
      </c>
      <c r="E97" s="19"/>
    </row>
    <row r="98" spans="1:5" s="3" customFormat="1" ht="61.5" customHeight="1">
      <c r="A98" s="14" t="s">
        <v>468</v>
      </c>
      <c r="B98" s="53" t="s">
        <v>469</v>
      </c>
      <c r="C98" s="13">
        <f>18986.5</f>
        <v>18986.5</v>
      </c>
      <c r="D98" s="13">
        <f t="shared" si="3"/>
        <v>18986.5</v>
      </c>
      <c r="E98" s="19"/>
    </row>
    <row r="99" spans="1:5" s="3" customFormat="1" ht="78.75" customHeight="1">
      <c r="A99" s="14" t="s">
        <v>471</v>
      </c>
      <c r="B99" s="12" t="s">
        <v>473</v>
      </c>
      <c r="C99" s="13">
        <f>1050</f>
        <v>1050</v>
      </c>
      <c r="D99" s="13">
        <f t="shared" si="3"/>
        <v>1050</v>
      </c>
      <c r="E99" s="48"/>
    </row>
    <row r="100" spans="1:5" s="3" customFormat="1" ht="42.75" customHeight="1">
      <c r="A100" s="14" t="s">
        <v>474</v>
      </c>
      <c r="B100" s="12" t="s">
        <v>475</v>
      </c>
      <c r="C100" s="13">
        <f>12710</f>
        <v>12710</v>
      </c>
      <c r="D100" s="13">
        <f t="shared" si="3"/>
        <v>12710</v>
      </c>
      <c r="E100" s="48"/>
    </row>
    <row r="101" spans="1:5" s="3" customFormat="1" ht="42.75" customHeight="1">
      <c r="A101" s="14" t="s">
        <v>497</v>
      </c>
      <c r="B101" s="12" t="s">
        <v>499</v>
      </c>
      <c r="C101" s="13">
        <v>31000</v>
      </c>
      <c r="D101" s="13">
        <f t="shared" si="3"/>
        <v>31000</v>
      </c>
      <c r="E101" s="48"/>
    </row>
    <row r="102" spans="1:5" s="3" customFormat="1" ht="42.75" customHeight="1">
      <c r="A102" s="14" t="s">
        <v>498</v>
      </c>
      <c r="B102" s="12" t="s">
        <v>500</v>
      </c>
      <c r="C102" s="13">
        <f>9713</f>
        <v>9713</v>
      </c>
      <c r="D102" s="13">
        <f t="shared" si="3"/>
        <v>9713</v>
      </c>
      <c r="E102" s="48"/>
    </row>
    <row r="103" spans="1:5" s="3" customFormat="1" ht="24" customHeight="1">
      <c r="A103" s="14"/>
      <c r="B103" s="12" t="s">
        <v>496</v>
      </c>
      <c r="C103" s="13">
        <f>C93</f>
        <v>127978</v>
      </c>
      <c r="D103" s="13">
        <f t="shared" si="3"/>
        <v>127978</v>
      </c>
      <c r="E103" s="19"/>
    </row>
    <row r="104" spans="1:7" s="3" customFormat="1" ht="18" customHeight="1">
      <c r="A104" s="14"/>
      <c r="B104" s="12" t="s">
        <v>245</v>
      </c>
      <c r="C104" s="21">
        <f>C86+C90+C92+C32+C103</f>
        <v>148428378.31</v>
      </c>
      <c r="D104" s="21">
        <f t="shared" si="3"/>
        <v>148428378.31</v>
      </c>
      <c r="E104" s="19"/>
      <c r="G104" s="6"/>
    </row>
    <row r="105" spans="1:7" s="3" customFormat="1" ht="20.25" customHeight="1">
      <c r="A105" s="61" t="s">
        <v>40</v>
      </c>
      <c r="B105" s="61"/>
      <c r="C105" s="61"/>
      <c r="D105" s="61"/>
      <c r="E105" s="61"/>
      <c r="G105" s="6"/>
    </row>
    <row r="106" spans="1:7" s="7" customFormat="1" ht="44.25" customHeight="1">
      <c r="A106" s="14" t="s">
        <v>3</v>
      </c>
      <c r="B106" s="12" t="s">
        <v>50</v>
      </c>
      <c r="C106" s="13">
        <f>30000000-7902443-727920-488500-2040388+2651500+132100+559200-813912+138071</f>
        <v>21507708</v>
      </c>
      <c r="D106" s="13"/>
      <c r="E106" s="20">
        <f>C106</f>
        <v>21507708</v>
      </c>
      <c r="G106" s="8"/>
    </row>
    <row r="107" spans="1:7" s="7" customFormat="1" ht="60.75" customHeight="1">
      <c r="A107" s="14" t="s">
        <v>17</v>
      </c>
      <c r="B107" s="12" t="s">
        <v>265</v>
      </c>
      <c r="C107" s="35">
        <v>2490</v>
      </c>
      <c r="D107" s="13"/>
      <c r="E107" s="20">
        <f aca="true" t="shared" si="4" ref="E107:E130">C107</f>
        <v>2490</v>
      </c>
      <c r="F107" s="39">
        <f>C107+C108+C109+C110+C111+C112+C113+C114+C115+C116+C117+C118+C119+C120+C121+C122+C123+C124+C125+C126+C127+C128</f>
        <v>21507708</v>
      </c>
      <c r="G107" s="8"/>
    </row>
    <row r="108" spans="1:7" s="7" customFormat="1" ht="60.75" customHeight="1">
      <c r="A108" s="14" t="s">
        <v>18</v>
      </c>
      <c r="B108" s="12" t="s">
        <v>266</v>
      </c>
      <c r="C108" s="35">
        <f>3990</f>
        <v>3990</v>
      </c>
      <c r="D108" s="13"/>
      <c r="E108" s="20">
        <f t="shared" si="4"/>
        <v>3990</v>
      </c>
      <c r="G108" s="8"/>
    </row>
    <row r="109" spans="1:7" s="7" customFormat="1" ht="64.5" customHeight="1">
      <c r="A109" s="14" t="s">
        <v>19</v>
      </c>
      <c r="B109" s="12" t="s">
        <v>267</v>
      </c>
      <c r="C109" s="35">
        <v>18510</v>
      </c>
      <c r="D109" s="13"/>
      <c r="E109" s="20">
        <f t="shared" si="4"/>
        <v>18510</v>
      </c>
      <c r="G109" s="8"/>
    </row>
    <row r="110" spans="1:7" s="7" customFormat="1" ht="63" customHeight="1">
      <c r="A110" s="14" t="s">
        <v>20</v>
      </c>
      <c r="B110" s="12" t="s">
        <v>268</v>
      </c>
      <c r="C110" s="35">
        <v>18315</v>
      </c>
      <c r="D110" s="13"/>
      <c r="E110" s="20">
        <f t="shared" si="4"/>
        <v>18315</v>
      </c>
      <c r="G110" s="8"/>
    </row>
    <row r="111" spans="1:7" s="7" customFormat="1" ht="63" customHeight="1">
      <c r="A111" s="14" t="s">
        <v>21</v>
      </c>
      <c r="B111" s="12" t="s">
        <v>263</v>
      </c>
      <c r="C111" s="13">
        <f>480100</f>
        <v>480100</v>
      </c>
      <c r="D111" s="13"/>
      <c r="E111" s="20">
        <f t="shared" si="4"/>
        <v>480100</v>
      </c>
      <c r="G111" s="8"/>
    </row>
    <row r="112" spans="1:7" s="7" customFormat="1" ht="60" customHeight="1">
      <c r="A112" s="14" t="s">
        <v>261</v>
      </c>
      <c r="B112" s="12" t="s">
        <v>264</v>
      </c>
      <c r="C112" s="13">
        <f>961140+454990</f>
        <v>1416130</v>
      </c>
      <c r="D112" s="13"/>
      <c r="E112" s="20">
        <f t="shared" si="4"/>
        <v>1416130</v>
      </c>
      <c r="G112" s="8"/>
    </row>
    <row r="113" spans="1:7" s="7" customFormat="1" ht="54.75" customHeight="1">
      <c r="A113" s="14" t="s">
        <v>262</v>
      </c>
      <c r="B113" s="12" t="s">
        <v>244</v>
      </c>
      <c r="C113" s="13">
        <f>2015270-745302</f>
        <v>1269968</v>
      </c>
      <c r="D113" s="13"/>
      <c r="E113" s="20">
        <f t="shared" si="4"/>
        <v>1269968</v>
      </c>
      <c r="G113" s="8"/>
    </row>
    <row r="114" spans="1:7" s="7" customFormat="1" ht="64.5" customHeight="1">
      <c r="A114" s="14" t="s">
        <v>360</v>
      </c>
      <c r="B114" s="12" t="s">
        <v>364</v>
      </c>
      <c r="C114" s="13">
        <f>1044350</f>
        <v>1044350</v>
      </c>
      <c r="D114" s="13"/>
      <c r="E114" s="20">
        <f t="shared" si="4"/>
        <v>1044350</v>
      </c>
      <c r="G114" s="8"/>
    </row>
    <row r="115" spans="1:7" s="7" customFormat="1" ht="60" customHeight="1">
      <c r="A115" s="14" t="s">
        <v>361</v>
      </c>
      <c r="B115" s="12" t="s">
        <v>362</v>
      </c>
      <c r="C115" s="13">
        <f>2077035-2027858</f>
        <v>49177</v>
      </c>
      <c r="D115" s="13"/>
      <c r="E115" s="20">
        <f t="shared" si="4"/>
        <v>49177</v>
      </c>
      <c r="G115" s="8"/>
    </row>
    <row r="116" spans="1:7" s="7" customFormat="1" ht="54.75" customHeight="1">
      <c r="A116" s="14" t="s">
        <v>370</v>
      </c>
      <c r="B116" s="12" t="s">
        <v>371</v>
      </c>
      <c r="C116" s="13">
        <f>4000636-9000-611551</f>
        <v>3380085</v>
      </c>
      <c r="D116" s="13"/>
      <c r="E116" s="20">
        <f t="shared" si="4"/>
        <v>3380085</v>
      </c>
      <c r="G116" s="8"/>
    </row>
    <row r="117" spans="1:7" s="7" customFormat="1" ht="54.75" customHeight="1">
      <c r="A117" s="14" t="s">
        <v>378</v>
      </c>
      <c r="B117" s="12" t="s">
        <v>384</v>
      </c>
      <c r="C117" s="13">
        <f>2274081-200000-488500</f>
        <v>1585581</v>
      </c>
      <c r="D117" s="13"/>
      <c r="E117" s="20">
        <f t="shared" si="4"/>
        <v>1585581</v>
      </c>
      <c r="G117" s="8"/>
    </row>
    <row r="118" spans="1:7" s="7" customFormat="1" ht="54.75" customHeight="1">
      <c r="A118" s="14" t="s">
        <v>379</v>
      </c>
      <c r="B118" s="12" t="s">
        <v>385</v>
      </c>
      <c r="C118" s="13">
        <f>5174313-59425-570573-1469815</f>
        <v>3074500</v>
      </c>
      <c r="D118" s="13"/>
      <c r="E118" s="20">
        <f t="shared" si="4"/>
        <v>3074500</v>
      </c>
      <c r="G118" s="8"/>
    </row>
    <row r="119" spans="1:7" s="7" customFormat="1" ht="54.75" customHeight="1">
      <c r="A119" s="14" t="s">
        <v>380</v>
      </c>
      <c r="B119" s="12" t="s">
        <v>387</v>
      </c>
      <c r="C119" s="13">
        <f>2203935-2168562</f>
        <v>35373</v>
      </c>
      <c r="D119" s="13"/>
      <c r="E119" s="20">
        <f t="shared" si="4"/>
        <v>35373</v>
      </c>
      <c r="G119" s="8"/>
    </row>
    <row r="120" spans="1:7" s="7" customFormat="1" ht="54.75" customHeight="1">
      <c r="A120" s="14" t="s">
        <v>381</v>
      </c>
      <c r="B120" s="12" t="s">
        <v>411</v>
      </c>
      <c r="C120" s="13">
        <f>3532818-3501049</f>
        <v>31769</v>
      </c>
      <c r="D120" s="13"/>
      <c r="E120" s="20">
        <f t="shared" si="4"/>
        <v>31769</v>
      </c>
      <c r="G120" s="8"/>
    </row>
    <row r="121" spans="1:7" s="7" customFormat="1" ht="54.75" customHeight="1">
      <c r="A121" s="14" t="s">
        <v>382</v>
      </c>
      <c r="B121" s="12" t="s">
        <v>388</v>
      </c>
      <c r="C121" s="13">
        <f>2274591-2232832</f>
        <v>41759</v>
      </c>
      <c r="D121" s="13"/>
      <c r="E121" s="20">
        <f t="shared" si="4"/>
        <v>41759</v>
      </c>
      <c r="G121" s="8"/>
    </row>
    <row r="122" spans="1:7" s="7" customFormat="1" ht="54.75" customHeight="1">
      <c r="A122" s="14" t="s">
        <v>383</v>
      </c>
      <c r="B122" s="12" t="s">
        <v>390</v>
      </c>
      <c r="C122" s="13">
        <f>2194053-468495-188678</f>
        <v>1536880</v>
      </c>
      <c r="D122" s="13"/>
      <c r="E122" s="20">
        <f t="shared" si="4"/>
        <v>1536880</v>
      </c>
      <c r="G122" s="8"/>
    </row>
    <row r="123" spans="1:7" s="7" customFormat="1" ht="61.5" customHeight="1">
      <c r="A123" s="14" t="s">
        <v>389</v>
      </c>
      <c r="B123" s="12" t="s">
        <v>386</v>
      </c>
      <c r="C123" s="13">
        <f>5115587-618054-445990+1975337-521862</f>
        <v>5505018</v>
      </c>
      <c r="D123" s="13"/>
      <c r="E123" s="20">
        <f t="shared" si="4"/>
        <v>5505018</v>
      </c>
      <c r="G123" s="8"/>
    </row>
    <row r="124" spans="1:7" s="7" customFormat="1" ht="61.5" customHeight="1">
      <c r="A124" s="14" t="s">
        <v>457</v>
      </c>
      <c r="B124" s="12" t="s">
        <v>456</v>
      </c>
      <c r="C124" s="13">
        <f>611551</f>
        <v>611551</v>
      </c>
      <c r="D124" s="13"/>
      <c r="E124" s="20">
        <f t="shared" si="4"/>
        <v>611551</v>
      </c>
      <c r="G124" s="8"/>
    </row>
    <row r="125" spans="1:7" s="7" customFormat="1" ht="61.5" customHeight="1">
      <c r="A125" s="14" t="s">
        <v>481</v>
      </c>
      <c r="B125" s="12" t="s">
        <v>484</v>
      </c>
      <c r="C125" s="13">
        <f>132100</f>
        <v>132100</v>
      </c>
      <c r="D125" s="13"/>
      <c r="E125" s="20">
        <f t="shared" si="4"/>
        <v>132100</v>
      </c>
      <c r="G125" s="8"/>
    </row>
    <row r="126" spans="1:7" s="7" customFormat="1" ht="61.5" customHeight="1">
      <c r="A126" s="14" t="s">
        <v>483</v>
      </c>
      <c r="B126" s="12" t="s">
        <v>482</v>
      </c>
      <c r="C126" s="13">
        <f>559200</f>
        <v>559200</v>
      </c>
      <c r="D126" s="13"/>
      <c r="E126" s="20">
        <f t="shared" si="4"/>
        <v>559200</v>
      </c>
      <c r="G126" s="8"/>
    </row>
    <row r="127" spans="1:7" s="7" customFormat="1" ht="61.5" customHeight="1">
      <c r="A127" s="14" t="s">
        <v>490</v>
      </c>
      <c r="B127" s="12" t="s">
        <v>491</v>
      </c>
      <c r="C127" s="13">
        <v>189000</v>
      </c>
      <c r="D127" s="13"/>
      <c r="E127" s="20">
        <f t="shared" si="4"/>
        <v>189000</v>
      </c>
      <c r="G127" s="8"/>
    </row>
    <row r="128" spans="1:7" s="7" customFormat="1" ht="83.25" customHeight="1">
      <c r="A128" s="14" t="s">
        <v>509</v>
      </c>
      <c r="B128" s="12" t="s">
        <v>515</v>
      </c>
      <c r="C128" s="13">
        <f>521862</f>
        <v>521862</v>
      </c>
      <c r="D128" s="13"/>
      <c r="E128" s="20">
        <f t="shared" si="4"/>
        <v>521862</v>
      </c>
      <c r="G128" s="8"/>
    </row>
    <row r="129" spans="1:7" s="7" customFormat="1" ht="38.25" customHeight="1">
      <c r="A129" s="14" t="s">
        <v>4</v>
      </c>
      <c r="B129" s="12" t="s">
        <v>53</v>
      </c>
      <c r="C129" s="13">
        <f>15000000-4000000+35899+19955</f>
        <v>11055854</v>
      </c>
      <c r="D129" s="13"/>
      <c r="E129" s="13">
        <f t="shared" si="4"/>
        <v>11055854</v>
      </c>
      <c r="G129" s="8"/>
    </row>
    <row r="130" spans="1:7" s="7" customFormat="1" ht="49.5" customHeight="1">
      <c r="A130" s="14" t="s">
        <v>62</v>
      </c>
      <c r="B130" s="31" t="s">
        <v>192</v>
      </c>
      <c r="C130" s="35">
        <f>111674+1392</f>
        <v>113066</v>
      </c>
      <c r="D130" s="13"/>
      <c r="E130" s="13">
        <f t="shared" si="4"/>
        <v>113066</v>
      </c>
      <c r="F130" s="39">
        <f>C130+C131+C132+C133+C134+C135+C136+C137+C138+C139+C140+C141+C142+C143+C144+C145+C146+C147+C148+C149+C150+C151+C152+C153+C154+C155+C156+C157+C158+C159+C160+C161+C162+C163+C164+C165+C166+C167+C168+C169+C170+C171+C172+C173+C174+C175+C176+C177+C178+C179+C180+C181+C182+C183+C184+C185+C186+C187+C188+C189+C190+C191+C192+C193+C194+C195+C196+C197+C198+C199+C200+C201+C202+C203+C204+C205+C206</f>
        <v>11055854</v>
      </c>
      <c r="G130" s="8"/>
    </row>
    <row r="131" spans="1:7" s="7" customFormat="1" ht="45" customHeight="1">
      <c r="A131" s="14" t="s">
        <v>63</v>
      </c>
      <c r="B131" s="12" t="s">
        <v>193</v>
      </c>
      <c r="C131" s="36">
        <f>149500-1550</f>
        <v>147950</v>
      </c>
      <c r="D131" s="13" t="s">
        <v>58</v>
      </c>
      <c r="E131" s="13">
        <f aca="true" t="shared" si="5" ref="E131:E171">C131</f>
        <v>147950</v>
      </c>
      <c r="G131" s="8"/>
    </row>
    <row r="132" spans="1:7" s="7" customFormat="1" ht="48" customHeight="1">
      <c r="A132" s="14" t="s">
        <v>64</v>
      </c>
      <c r="B132" s="11" t="s">
        <v>194</v>
      </c>
      <c r="C132" s="36">
        <f>161720+2013</f>
        <v>163733</v>
      </c>
      <c r="D132" s="13"/>
      <c r="E132" s="13">
        <f t="shared" si="5"/>
        <v>163733</v>
      </c>
      <c r="G132" s="8"/>
    </row>
    <row r="133" spans="1:7" s="7" customFormat="1" ht="45" customHeight="1">
      <c r="A133" s="14" t="s">
        <v>65</v>
      </c>
      <c r="B133" s="11" t="s">
        <v>196</v>
      </c>
      <c r="C133" s="36">
        <f>220512+2747+25</f>
        <v>223284</v>
      </c>
      <c r="D133" s="13"/>
      <c r="E133" s="13">
        <f t="shared" si="5"/>
        <v>223284</v>
      </c>
      <c r="G133" s="8"/>
    </row>
    <row r="134" spans="1:7" s="7" customFormat="1" ht="45" customHeight="1">
      <c r="A134" s="14" t="s">
        <v>66</v>
      </c>
      <c r="B134" s="11" t="s">
        <v>195</v>
      </c>
      <c r="C134" s="36">
        <f>220512+2747</f>
        <v>223259</v>
      </c>
      <c r="D134" s="13"/>
      <c r="E134" s="13">
        <f t="shared" si="5"/>
        <v>223259</v>
      </c>
      <c r="G134" s="8"/>
    </row>
    <row r="135" spans="1:7" s="7" customFormat="1" ht="40.5" customHeight="1">
      <c r="A135" s="14" t="s">
        <v>67</v>
      </c>
      <c r="B135" s="10" t="s">
        <v>197</v>
      </c>
      <c r="C135" s="36">
        <f>119675+1488</f>
        <v>121163</v>
      </c>
      <c r="D135" s="13"/>
      <c r="E135" s="13">
        <f t="shared" si="5"/>
        <v>121163</v>
      </c>
      <c r="G135" s="8"/>
    </row>
    <row r="136" spans="1:7" s="7" customFormat="1" ht="47.25" customHeight="1">
      <c r="A136" s="14" t="s">
        <v>68</v>
      </c>
      <c r="B136" s="11" t="s">
        <v>198</v>
      </c>
      <c r="C136" s="36">
        <f>119585+1487</f>
        <v>121072</v>
      </c>
      <c r="D136" s="13"/>
      <c r="E136" s="13">
        <f t="shared" si="5"/>
        <v>121072</v>
      </c>
      <c r="G136" s="8"/>
    </row>
    <row r="137" spans="1:7" s="7" customFormat="1" ht="45.75" customHeight="1">
      <c r="A137" s="14" t="s">
        <v>69</v>
      </c>
      <c r="B137" s="10" t="s">
        <v>199</v>
      </c>
      <c r="C137" s="36">
        <f>220512+2747</f>
        <v>223259</v>
      </c>
      <c r="D137" s="13"/>
      <c r="E137" s="13">
        <f t="shared" si="5"/>
        <v>223259</v>
      </c>
      <c r="G137" s="8"/>
    </row>
    <row r="138" spans="1:7" s="7" customFormat="1" ht="45" customHeight="1">
      <c r="A138" s="14" t="s">
        <v>70</v>
      </c>
      <c r="B138" s="10" t="s">
        <v>200</v>
      </c>
      <c r="C138" s="36">
        <f>119675+1488</f>
        <v>121163</v>
      </c>
      <c r="D138" s="13"/>
      <c r="E138" s="13">
        <f t="shared" si="5"/>
        <v>121163</v>
      </c>
      <c r="G138" s="8"/>
    </row>
    <row r="139" spans="1:7" s="7" customFormat="1" ht="45" customHeight="1">
      <c r="A139" s="14" t="s">
        <v>72</v>
      </c>
      <c r="B139" s="11" t="s">
        <v>201</v>
      </c>
      <c r="C139" s="36">
        <f>13750+2200-1550</f>
        <v>14400</v>
      </c>
      <c r="D139" s="13"/>
      <c r="E139" s="13">
        <f t="shared" si="5"/>
        <v>14400</v>
      </c>
      <c r="G139" s="8"/>
    </row>
    <row r="140" spans="1:7" s="7" customFormat="1" ht="45" customHeight="1">
      <c r="A140" s="14" t="s">
        <v>71</v>
      </c>
      <c r="B140" s="11" t="s">
        <v>202</v>
      </c>
      <c r="C140" s="36">
        <f>161387+2009</f>
        <v>163396</v>
      </c>
      <c r="D140" s="13"/>
      <c r="E140" s="13">
        <f t="shared" si="5"/>
        <v>163396</v>
      </c>
      <c r="G140" s="8"/>
    </row>
    <row r="141" spans="1:7" s="7" customFormat="1" ht="48" customHeight="1">
      <c r="A141" s="14" t="s">
        <v>73</v>
      </c>
      <c r="B141" s="11" t="s">
        <v>203</v>
      </c>
      <c r="C141" s="36">
        <f>13750+2200-1550</f>
        <v>14400</v>
      </c>
      <c r="D141" s="13"/>
      <c r="E141" s="13">
        <f t="shared" si="5"/>
        <v>14400</v>
      </c>
      <c r="G141" s="8"/>
    </row>
    <row r="142" spans="1:7" s="7" customFormat="1" ht="45.75" customHeight="1">
      <c r="A142" s="14" t="s">
        <v>74</v>
      </c>
      <c r="B142" s="11" t="s">
        <v>204</v>
      </c>
      <c r="C142" s="36">
        <f>13750+2200-1550</f>
        <v>14400</v>
      </c>
      <c r="D142" s="13"/>
      <c r="E142" s="13">
        <f t="shared" si="5"/>
        <v>14400</v>
      </c>
      <c r="G142" s="8"/>
    </row>
    <row r="143" spans="1:7" s="7" customFormat="1" ht="51.75" customHeight="1">
      <c r="A143" s="14" t="s">
        <v>75</v>
      </c>
      <c r="B143" s="11" t="s">
        <v>205</v>
      </c>
      <c r="C143" s="36">
        <f>13750+2200-1600</f>
        <v>14350</v>
      </c>
      <c r="D143" s="13"/>
      <c r="E143" s="13">
        <f t="shared" si="5"/>
        <v>14350</v>
      </c>
      <c r="G143" s="8"/>
    </row>
    <row r="144" spans="1:7" s="7" customFormat="1" ht="48" customHeight="1">
      <c r="A144" s="14" t="s">
        <v>76</v>
      </c>
      <c r="B144" s="11" t="s">
        <v>206</v>
      </c>
      <c r="C144" s="36">
        <f>149500-1600</f>
        <v>147900</v>
      </c>
      <c r="D144" s="13"/>
      <c r="E144" s="13">
        <f t="shared" si="5"/>
        <v>147900</v>
      </c>
      <c r="G144" s="8"/>
    </row>
    <row r="145" spans="1:7" s="7" customFormat="1" ht="47.25" customHeight="1">
      <c r="A145" s="14" t="s">
        <v>84</v>
      </c>
      <c r="B145" s="10" t="s">
        <v>207</v>
      </c>
      <c r="C145" s="36">
        <f>119591+1487</f>
        <v>121078</v>
      </c>
      <c r="D145" s="13"/>
      <c r="E145" s="13">
        <f t="shared" si="5"/>
        <v>121078</v>
      </c>
      <c r="G145" s="8"/>
    </row>
    <row r="146" spans="1:7" s="7" customFormat="1" ht="49.5" customHeight="1">
      <c r="A146" s="14" t="s">
        <v>85</v>
      </c>
      <c r="B146" s="10" t="s">
        <v>208</v>
      </c>
      <c r="C146" s="36">
        <f>119591+1487</f>
        <v>121078</v>
      </c>
      <c r="D146" s="13"/>
      <c r="E146" s="13">
        <f t="shared" si="5"/>
        <v>121078</v>
      </c>
      <c r="G146" s="8"/>
    </row>
    <row r="147" spans="1:7" s="7" customFormat="1" ht="51" customHeight="1">
      <c r="A147" s="14" t="s">
        <v>86</v>
      </c>
      <c r="B147" s="10" t="s">
        <v>209</v>
      </c>
      <c r="C147" s="36">
        <f>119675+1488</f>
        <v>121163</v>
      </c>
      <c r="D147" s="13"/>
      <c r="E147" s="13">
        <f t="shared" si="5"/>
        <v>121163</v>
      </c>
      <c r="G147" s="8"/>
    </row>
    <row r="148" spans="1:7" s="7" customFormat="1" ht="47.25" customHeight="1">
      <c r="A148" s="14" t="s">
        <v>87</v>
      </c>
      <c r="B148" s="10" t="s">
        <v>210</v>
      </c>
      <c r="C148" s="36">
        <f>119591+1487+85</f>
        <v>121163</v>
      </c>
      <c r="D148" s="13"/>
      <c r="E148" s="13">
        <f t="shared" si="5"/>
        <v>121163</v>
      </c>
      <c r="G148" s="8"/>
    </row>
    <row r="149" spans="1:7" s="7" customFormat="1" ht="43.5" customHeight="1">
      <c r="A149" s="14" t="s">
        <v>88</v>
      </c>
      <c r="B149" s="10" t="s">
        <v>243</v>
      </c>
      <c r="C149" s="36">
        <f>119734+1489</f>
        <v>121223</v>
      </c>
      <c r="D149" s="13"/>
      <c r="E149" s="13">
        <f t="shared" si="5"/>
        <v>121223</v>
      </c>
      <c r="G149" s="8"/>
    </row>
    <row r="150" spans="1:7" s="7" customFormat="1" ht="63" customHeight="1">
      <c r="A150" s="14" t="s">
        <v>89</v>
      </c>
      <c r="B150" s="10" t="s">
        <v>211</v>
      </c>
      <c r="C150" s="36">
        <f>119591+1487</f>
        <v>121078</v>
      </c>
      <c r="D150" s="13"/>
      <c r="E150" s="13">
        <f t="shared" si="5"/>
        <v>121078</v>
      </c>
      <c r="G150" s="8"/>
    </row>
    <row r="151" spans="1:7" s="7" customFormat="1" ht="42.75" customHeight="1">
      <c r="A151" s="14" t="s">
        <v>90</v>
      </c>
      <c r="B151" s="11" t="s">
        <v>212</v>
      </c>
      <c r="C151" s="36">
        <f>119591+1487</f>
        <v>121078</v>
      </c>
      <c r="D151" s="13"/>
      <c r="E151" s="13">
        <f t="shared" si="5"/>
        <v>121078</v>
      </c>
      <c r="G151" s="8"/>
    </row>
    <row r="152" spans="1:7" s="7" customFormat="1" ht="45" customHeight="1">
      <c r="A152" s="14" t="s">
        <v>91</v>
      </c>
      <c r="B152" s="11" t="s">
        <v>213</v>
      </c>
      <c r="C152" s="36">
        <f>119734+1489</f>
        <v>121223</v>
      </c>
      <c r="D152" s="13"/>
      <c r="E152" s="13">
        <f t="shared" si="5"/>
        <v>121223</v>
      </c>
      <c r="G152" s="8"/>
    </row>
    <row r="153" spans="1:7" s="7" customFormat="1" ht="42.75" customHeight="1">
      <c r="A153" s="14" t="s">
        <v>92</v>
      </c>
      <c r="B153" s="11" t="s">
        <v>214</v>
      </c>
      <c r="C153" s="36">
        <f>119675+1488</f>
        <v>121163</v>
      </c>
      <c r="D153" s="13"/>
      <c r="E153" s="13">
        <f t="shared" si="5"/>
        <v>121163</v>
      </c>
      <c r="G153" s="8"/>
    </row>
    <row r="154" spans="1:7" s="7" customFormat="1" ht="48" customHeight="1">
      <c r="A154" s="14" t="s">
        <v>93</v>
      </c>
      <c r="B154" s="11" t="s">
        <v>215</v>
      </c>
      <c r="C154" s="36">
        <f>119734+1489</f>
        <v>121223</v>
      </c>
      <c r="D154" s="13"/>
      <c r="E154" s="13">
        <f t="shared" si="5"/>
        <v>121223</v>
      </c>
      <c r="G154" s="8"/>
    </row>
    <row r="155" spans="1:7" s="7" customFormat="1" ht="63" customHeight="1">
      <c r="A155" s="14" t="s">
        <v>94</v>
      </c>
      <c r="B155" s="11" t="s">
        <v>216</v>
      </c>
      <c r="C155" s="36">
        <f>119734+1489</f>
        <v>121223</v>
      </c>
      <c r="D155" s="13"/>
      <c r="E155" s="13">
        <f t="shared" si="5"/>
        <v>121223</v>
      </c>
      <c r="G155" s="8"/>
    </row>
    <row r="156" spans="1:7" s="7" customFormat="1" ht="42.75" customHeight="1">
      <c r="A156" s="14" t="s">
        <v>95</v>
      </c>
      <c r="B156" s="11" t="s">
        <v>217</v>
      </c>
      <c r="C156" s="36">
        <f>119591+1457+30</f>
        <v>121078</v>
      </c>
      <c r="D156" s="13"/>
      <c r="E156" s="13">
        <f t="shared" si="5"/>
        <v>121078</v>
      </c>
      <c r="G156" s="8"/>
    </row>
    <row r="157" spans="1:7" s="7" customFormat="1" ht="42.75" customHeight="1">
      <c r="A157" s="14" t="s">
        <v>96</v>
      </c>
      <c r="B157" s="11" t="s">
        <v>218</v>
      </c>
      <c r="C157" s="36">
        <f>119591+1487</f>
        <v>121078</v>
      </c>
      <c r="D157" s="13"/>
      <c r="E157" s="13">
        <f t="shared" si="5"/>
        <v>121078</v>
      </c>
      <c r="G157" s="8"/>
    </row>
    <row r="158" spans="1:7" s="7" customFormat="1" ht="48" customHeight="1">
      <c r="A158" s="14" t="s">
        <v>97</v>
      </c>
      <c r="B158" s="11" t="s">
        <v>219</v>
      </c>
      <c r="C158" s="36">
        <f>119591+1487</f>
        <v>121078</v>
      </c>
      <c r="D158" s="13"/>
      <c r="E158" s="13">
        <f t="shared" si="5"/>
        <v>121078</v>
      </c>
      <c r="G158" s="8"/>
    </row>
    <row r="159" spans="1:7" s="7" customFormat="1" ht="45.75" customHeight="1">
      <c r="A159" s="14" t="s">
        <v>98</v>
      </c>
      <c r="B159" s="11" t="s">
        <v>220</v>
      </c>
      <c r="C159" s="36">
        <f>119734+1489</f>
        <v>121223</v>
      </c>
      <c r="D159" s="13"/>
      <c r="E159" s="13">
        <f t="shared" si="5"/>
        <v>121223</v>
      </c>
      <c r="G159" s="8"/>
    </row>
    <row r="160" spans="1:7" s="7" customFormat="1" ht="51" customHeight="1">
      <c r="A160" s="14" t="s">
        <v>99</v>
      </c>
      <c r="B160" s="11" t="s">
        <v>221</v>
      </c>
      <c r="C160" s="36">
        <f>119675+1488</f>
        <v>121163</v>
      </c>
      <c r="D160" s="13"/>
      <c r="E160" s="13">
        <f t="shared" si="5"/>
        <v>121163</v>
      </c>
      <c r="G160" s="8"/>
    </row>
    <row r="161" spans="1:7" s="7" customFormat="1" ht="45.75" customHeight="1">
      <c r="A161" s="14" t="s">
        <v>100</v>
      </c>
      <c r="B161" s="11" t="s">
        <v>122</v>
      </c>
      <c r="C161" s="36">
        <f>119591+1487</f>
        <v>121078</v>
      </c>
      <c r="D161" s="13"/>
      <c r="E161" s="13">
        <f t="shared" si="5"/>
        <v>121078</v>
      </c>
      <c r="G161" s="8"/>
    </row>
    <row r="162" spans="1:7" s="7" customFormat="1" ht="47.25" customHeight="1">
      <c r="A162" s="14" t="s">
        <v>101</v>
      </c>
      <c r="B162" s="11" t="s">
        <v>222</v>
      </c>
      <c r="C162" s="36">
        <f>119734+1487</f>
        <v>121221</v>
      </c>
      <c r="D162" s="13"/>
      <c r="E162" s="13">
        <f t="shared" si="5"/>
        <v>121221</v>
      </c>
      <c r="G162" s="8"/>
    </row>
    <row r="163" spans="1:7" s="7" customFormat="1" ht="41.25" customHeight="1">
      <c r="A163" s="14" t="s">
        <v>102</v>
      </c>
      <c r="B163" s="11" t="s">
        <v>223</v>
      </c>
      <c r="C163" s="36">
        <f>119675+1488</f>
        <v>121163</v>
      </c>
      <c r="D163" s="13"/>
      <c r="E163" s="13">
        <f t="shared" si="5"/>
        <v>121163</v>
      </c>
      <c r="G163" s="8"/>
    </row>
    <row r="164" spans="1:7" s="7" customFormat="1" ht="48.75" customHeight="1">
      <c r="A164" s="14" t="s">
        <v>103</v>
      </c>
      <c r="B164" s="11" t="s">
        <v>224</v>
      </c>
      <c r="C164" s="36">
        <f>119734+1489</f>
        <v>121223</v>
      </c>
      <c r="D164" s="13"/>
      <c r="E164" s="13">
        <f t="shared" si="5"/>
        <v>121223</v>
      </c>
      <c r="G164" s="8"/>
    </row>
    <row r="165" spans="1:7" s="7" customFormat="1" ht="45" customHeight="1">
      <c r="A165" s="14" t="s">
        <v>104</v>
      </c>
      <c r="B165" s="11" t="s">
        <v>225</v>
      </c>
      <c r="C165" s="36">
        <f>119734+1489</f>
        <v>121223</v>
      </c>
      <c r="D165" s="13"/>
      <c r="E165" s="13">
        <f t="shared" si="5"/>
        <v>121223</v>
      </c>
      <c r="G165" s="8"/>
    </row>
    <row r="166" spans="1:7" s="7" customFormat="1" ht="44.25" customHeight="1">
      <c r="A166" s="14" t="s">
        <v>105</v>
      </c>
      <c r="B166" s="11" t="s">
        <v>226</v>
      </c>
      <c r="C166" s="36">
        <f>119675+1488</f>
        <v>121163</v>
      </c>
      <c r="D166" s="13"/>
      <c r="E166" s="13">
        <f t="shared" si="5"/>
        <v>121163</v>
      </c>
      <c r="G166" s="8"/>
    </row>
    <row r="167" spans="1:7" s="7" customFormat="1" ht="41.25" customHeight="1">
      <c r="A167" s="14" t="s">
        <v>106</v>
      </c>
      <c r="B167" s="10" t="s">
        <v>227</v>
      </c>
      <c r="C167" s="36">
        <f>220535+2747</f>
        <v>223282</v>
      </c>
      <c r="D167" s="13"/>
      <c r="E167" s="13">
        <f t="shared" si="5"/>
        <v>223282</v>
      </c>
      <c r="G167" s="8"/>
    </row>
    <row r="168" spans="1:7" s="7" customFormat="1" ht="42.75" customHeight="1">
      <c r="A168" s="14" t="s">
        <v>107</v>
      </c>
      <c r="B168" s="10" t="s">
        <v>228</v>
      </c>
      <c r="C168" s="36">
        <f>149500-1550</f>
        <v>147950</v>
      </c>
      <c r="D168" s="13"/>
      <c r="E168" s="13">
        <f t="shared" si="5"/>
        <v>147950</v>
      </c>
      <c r="G168" s="8"/>
    </row>
    <row r="169" spans="1:7" s="7" customFormat="1" ht="66" customHeight="1">
      <c r="A169" s="14" t="s">
        <v>108</v>
      </c>
      <c r="B169" s="11" t="s">
        <v>229</v>
      </c>
      <c r="C169" s="36">
        <f>149500</f>
        <v>149500</v>
      </c>
      <c r="D169" s="13"/>
      <c r="E169" s="13">
        <f t="shared" si="5"/>
        <v>149500</v>
      </c>
      <c r="G169" s="8"/>
    </row>
    <row r="170" spans="1:7" s="7" customFormat="1" ht="47.25" customHeight="1">
      <c r="A170" s="14" t="s">
        <v>109</v>
      </c>
      <c r="B170" s="10" t="s">
        <v>230</v>
      </c>
      <c r="C170" s="36">
        <f>149500</f>
        <v>149500</v>
      </c>
      <c r="D170" s="13"/>
      <c r="E170" s="13">
        <f t="shared" si="5"/>
        <v>149500</v>
      </c>
      <c r="G170" s="8"/>
    </row>
    <row r="171" spans="1:7" s="7" customFormat="1" ht="45.75" customHeight="1">
      <c r="A171" s="14" t="s">
        <v>110</v>
      </c>
      <c r="B171" s="10" t="s">
        <v>231</v>
      </c>
      <c r="C171" s="36">
        <f>149500-1600</f>
        <v>147900</v>
      </c>
      <c r="D171" s="13"/>
      <c r="E171" s="13">
        <f t="shared" si="5"/>
        <v>147900</v>
      </c>
      <c r="G171" s="8"/>
    </row>
    <row r="172" spans="1:7" s="7" customFormat="1" ht="38.25" customHeight="1">
      <c r="A172" s="14" t="s">
        <v>111</v>
      </c>
      <c r="B172" s="10" t="s">
        <v>232</v>
      </c>
      <c r="C172" s="36">
        <f>149500-1600</f>
        <v>147900</v>
      </c>
      <c r="D172" s="13"/>
      <c r="E172" s="13">
        <f aca="true" t="shared" si="6" ref="E172:E206">C172</f>
        <v>147900</v>
      </c>
      <c r="G172" s="8"/>
    </row>
    <row r="173" spans="1:7" s="7" customFormat="1" ht="62.25" customHeight="1">
      <c r="A173" s="14" t="s">
        <v>112</v>
      </c>
      <c r="B173" s="10" t="s">
        <v>233</v>
      </c>
      <c r="C173" s="36">
        <f>149500-1600</f>
        <v>147900</v>
      </c>
      <c r="D173" s="13"/>
      <c r="E173" s="13">
        <f t="shared" si="6"/>
        <v>147900</v>
      </c>
      <c r="G173" s="8"/>
    </row>
    <row r="174" spans="1:8" s="7" customFormat="1" ht="63" customHeight="1">
      <c r="A174" s="14" t="s">
        <v>113</v>
      </c>
      <c r="B174" s="10" t="s">
        <v>234</v>
      </c>
      <c r="C174" s="36">
        <f>149500-1600</f>
        <v>147900</v>
      </c>
      <c r="D174" s="13"/>
      <c r="E174" s="13">
        <f t="shared" si="6"/>
        <v>147900</v>
      </c>
      <c r="G174" s="8"/>
      <c r="H174" s="7" t="s">
        <v>58</v>
      </c>
    </row>
    <row r="175" spans="1:7" s="7" customFormat="1" ht="47.25" customHeight="1">
      <c r="A175" s="14" t="s">
        <v>114</v>
      </c>
      <c r="B175" s="10" t="s">
        <v>235</v>
      </c>
      <c r="C175" s="36">
        <f>13750+2200-1700</f>
        <v>14250</v>
      </c>
      <c r="D175" s="13"/>
      <c r="E175" s="13">
        <f t="shared" si="6"/>
        <v>14250</v>
      </c>
      <c r="G175" s="8"/>
    </row>
    <row r="176" spans="1:7" s="7" customFormat="1" ht="45.75" customHeight="1">
      <c r="A176" s="14" t="s">
        <v>115</v>
      </c>
      <c r="B176" s="11" t="s">
        <v>236</v>
      </c>
      <c r="C176" s="36">
        <f>149500-1700</f>
        <v>147800</v>
      </c>
      <c r="D176" s="13"/>
      <c r="E176" s="13">
        <f t="shared" si="6"/>
        <v>147800</v>
      </c>
      <c r="G176" s="8"/>
    </row>
    <row r="177" spans="1:7" s="7" customFormat="1" ht="47.25" customHeight="1">
      <c r="A177" s="14" t="s">
        <v>116</v>
      </c>
      <c r="B177" s="11" t="s">
        <v>237</v>
      </c>
      <c r="C177" s="36">
        <f>149500-1550</f>
        <v>147950</v>
      </c>
      <c r="D177" s="13"/>
      <c r="E177" s="13">
        <f t="shared" si="6"/>
        <v>147950</v>
      </c>
      <c r="G177" s="8"/>
    </row>
    <row r="178" spans="1:7" s="7" customFormat="1" ht="51.75" customHeight="1">
      <c r="A178" s="14" t="s">
        <v>117</v>
      </c>
      <c r="B178" s="11" t="s">
        <v>238</v>
      </c>
      <c r="C178" s="36">
        <f>149500</f>
        <v>149500</v>
      </c>
      <c r="D178" s="13"/>
      <c r="E178" s="13">
        <f t="shared" si="6"/>
        <v>149500</v>
      </c>
      <c r="G178" s="8"/>
    </row>
    <row r="179" spans="1:7" s="7" customFormat="1" ht="48" customHeight="1">
      <c r="A179" s="14" t="s">
        <v>118</v>
      </c>
      <c r="B179" s="11" t="s">
        <v>239</v>
      </c>
      <c r="C179" s="36">
        <f>149500</f>
        <v>149500</v>
      </c>
      <c r="D179" s="13"/>
      <c r="E179" s="13">
        <f t="shared" si="6"/>
        <v>149500</v>
      </c>
      <c r="G179" s="8"/>
    </row>
    <row r="180" spans="1:7" s="7" customFormat="1" ht="48.75" customHeight="1">
      <c r="A180" s="14" t="s">
        <v>119</v>
      </c>
      <c r="B180" s="11" t="s">
        <v>240</v>
      </c>
      <c r="C180" s="36">
        <f>149500-1550</f>
        <v>147950</v>
      </c>
      <c r="D180" s="13"/>
      <c r="E180" s="13">
        <f t="shared" si="6"/>
        <v>147950</v>
      </c>
      <c r="G180" s="8"/>
    </row>
    <row r="181" spans="1:7" s="7" customFormat="1" ht="50.25" customHeight="1">
      <c r="A181" s="14" t="s">
        <v>120</v>
      </c>
      <c r="B181" s="11" t="s">
        <v>241</v>
      </c>
      <c r="C181" s="36">
        <f>149500-1600</f>
        <v>147900</v>
      </c>
      <c r="D181" s="13"/>
      <c r="E181" s="13">
        <f t="shared" si="6"/>
        <v>147900</v>
      </c>
      <c r="G181" s="8"/>
    </row>
    <row r="182" spans="1:7" s="7" customFormat="1" ht="45" customHeight="1">
      <c r="A182" s="14" t="s">
        <v>121</v>
      </c>
      <c r="B182" s="11" t="s">
        <v>242</v>
      </c>
      <c r="C182" s="36">
        <f>149500-1600</f>
        <v>147900</v>
      </c>
      <c r="D182" s="13"/>
      <c r="E182" s="13">
        <f t="shared" si="6"/>
        <v>147900</v>
      </c>
      <c r="G182" s="8"/>
    </row>
    <row r="183" spans="1:7" s="7" customFormat="1" ht="57.75" customHeight="1">
      <c r="A183" s="14" t="s">
        <v>277</v>
      </c>
      <c r="B183" s="11" t="s">
        <v>278</v>
      </c>
      <c r="C183" s="36">
        <f>1488</f>
        <v>1488</v>
      </c>
      <c r="D183" s="13"/>
      <c r="E183" s="13">
        <f t="shared" si="6"/>
        <v>1488</v>
      </c>
      <c r="G183" s="8"/>
    </row>
    <row r="184" spans="1:7" s="7" customFormat="1" ht="40.5" customHeight="1">
      <c r="A184" s="14" t="s">
        <v>284</v>
      </c>
      <c r="B184" s="11" t="s">
        <v>303</v>
      </c>
      <c r="C184" s="13">
        <f>259050-2843</f>
        <v>256207</v>
      </c>
      <c r="D184" s="13"/>
      <c r="E184" s="13">
        <f t="shared" si="6"/>
        <v>256207</v>
      </c>
      <c r="G184" s="8"/>
    </row>
    <row r="185" spans="1:7" s="7" customFormat="1" ht="43.5" customHeight="1">
      <c r="A185" s="14" t="s">
        <v>285</v>
      </c>
      <c r="B185" s="11" t="s">
        <v>304</v>
      </c>
      <c r="C185" s="13">
        <f>256210</f>
        <v>256210</v>
      </c>
      <c r="D185" s="13"/>
      <c r="E185" s="13">
        <f t="shared" si="6"/>
        <v>256210</v>
      </c>
      <c r="G185" s="8"/>
    </row>
    <row r="186" spans="1:7" s="7" customFormat="1" ht="45.75" customHeight="1">
      <c r="A186" s="14" t="s">
        <v>286</v>
      </c>
      <c r="B186" s="43" t="s">
        <v>305</v>
      </c>
      <c r="C186" s="13">
        <f>193310</f>
        <v>193310</v>
      </c>
      <c r="D186" s="13"/>
      <c r="E186" s="13">
        <f t="shared" si="6"/>
        <v>193310</v>
      </c>
      <c r="G186" s="8"/>
    </row>
    <row r="187" spans="1:7" s="7" customFormat="1" ht="49.5" customHeight="1">
      <c r="A187" s="14" t="s">
        <v>287</v>
      </c>
      <c r="B187" s="43" t="s">
        <v>306</v>
      </c>
      <c r="C187" s="13">
        <f>190470</f>
        <v>190470</v>
      </c>
      <c r="D187" s="13"/>
      <c r="E187" s="13">
        <f t="shared" si="6"/>
        <v>190470</v>
      </c>
      <c r="G187" s="8"/>
    </row>
    <row r="188" spans="1:7" s="7" customFormat="1" ht="57.75" customHeight="1">
      <c r="A188" s="14" t="s">
        <v>288</v>
      </c>
      <c r="B188" s="42" t="s">
        <v>307</v>
      </c>
      <c r="C188" s="13">
        <f>256210</f>
        <v>256210</v>
      </c>
      <c r="D188" s="13"/>
      <c r="E188" s="13">
        <f t="shared" si="6"/>
        <v>256210</v>
      </c>
      <c r="G188" s="8"/>
    </row>
    <row r="189" spans="1:7" s="7" customFormat="1" ht="57.75" customHeight="1">
      <c r="A189" s="14" t="s">
        <v>289</v>
      </c>
      <c r="B189" s="12" t="s">
        <v>308</v>
      </c>
      <c r="C189" s="13">
        <f>256210</f>
        <v>256210</v>
      </c>
      <c r="D189" s="13"/>
      <c r="E189" s="13">
        <f t="shared" si="6"/>
        <v>256210</v>
      </c>
      <c r="G189" s="8"/>
    </row>
    <row r="190" spans="1:7" s="7" customFormat="1" ht="52.5" customHeight="1">
      <c r="A190" s="14" t="s">
        <v>290</v>
      </c>
      <c r="B190" s="44" t="s">
        <v>464</v>
      </c>
      <c r="C190" s="33">
        <f>190470</f>
        <v>190470</v>
      </c>
      <c r="D190" s="13"/>
      <c r="E190" s="13">
        <f t="shared" si="6"/>
        <v>190470</v>
      </c>
      <c r="G190" s="8"/>
    </row>
    <row r="191" spans="1:7" s="7" customFormat="1" ht="51.75" customHeight="1">
      <c r="A191" s="14" t="s">
        <v>291</v>
      </c>
      <c r="B191" s="12" t="s">
        <v>309</v>
      </c>
      <c r="C191" s="13">
        <f>256210</f>
        <v>256210</v>
      </c>
      <c r="D191" s="13"/>
      <c r="E191" s="13">
        <f t="shared" si="6"/>
        <v>256210</v>
      </c>
      <c r="G191" s="8"/>
    </row>
    <row r="192" spans="1:7" s="7" customFormat="1" ht="57.75" customHeight="1">
      <c r="A192" s="14" t="s">
        <v>292</v>
      </c>
      <c r="B192" s="44" t="s">
        <v>409</v>
      </c>
      <c r="C192" s="13">
        <f>186210</f>
        <v>186210</v>
      </c>
      <c r="D192" s="13"/>
      <c r="E192" s="13">
        <f t="shared" si="6"/>
        <v>186210</v>
      </c>
      <c r="G192" s="8"/>
    </row>
    <row r="193" spans="1:7" s="7" customFormat="1" ht="57.75" customHeight="1">
      <c r="A193" s="32" t="s">
        <v>293</v>
      </c>
      <c r="B193" s="42" t="s">
        <v>410</v>
      </c>
      <c r="C193" s="33">
        <f>186210-179042</f>
        <v>7168</v>
      </c>
      <c r="D193" s="33"/>
      <c r="E193" s="33">
        <f t="shared" si="6"/>
        <v>7168</v>
      </c>
      <c r="G193" s="8"/>
    </row>
    <row r="194" spans="1:7" s="7" customFormat="1" ht="49.5" customHeight="1">
      <c r="A194" s="14" t="s">
        <v>294</v>
      </c>
      <c r="B194" s="12" t="s">
        <v>310</v>
      </c>
      <c r="C194" s="13">
        <f>256210-244840</f>
        <v>11370</v>
      </c>
      <c r="D194" s="13"/>
      <c r="E194" s="13">
        <f t="shared" si="6"/>
        <v>11370</v>
      </c>
      <c r="G194" s="8"/>
    </row>
    <row r="195" spans="1:7" s="7" customFormat="1" ht="49.5" customHeight="1">
      <c r="A195" s="14" t="s">
        <v>295</v>
      </c>
      <c r="B195" s="12" t="s">
        <v>373</v>
      </c>
      <c r="C195" s="13">
        <f>190470-181943</f>
        <v>8527</v>
      </c>
      <c r="D195" s="13"/>
      <c r="E195" s="13">
        <f t="shared" si="6"/>
        <v>8527</v>
      </c>
      <c r="G195" s="8"/>
    </row>
    <row r="196" spans="1:7" s="7" customFormat="1" ht="57.75" customHeight="1">
      <c r="A196" s="14" t="s">
        <v>296</v>
      </c>
      <c r="B196" s="42" t="s">
        <v>374</v>
      </c>
      <c r="C196" s="13">
        <f>190470</f>
        <v>190470</v>
      </c>
      <c r="D196" s="13"/>
      <c r="E196" s="13">
        <f t="shared" si="6"/>
        <v>190470</v>
      </c>
      <c r="G196" s="8"/>
    </row>
    <row r="197" spans="1:7" s="7" customFormat="1" ht="51" customHeight="1">
      <c r="A197" s="14" t="s">
        <v>297</v>
      </c>
      <c r="B197" s="12" t="s">
        <v>363</v>
      </c>
      <c r="C197" s="13">
        <f>256210+2843</f>
        <v>259053</v>
      </c>
      <c r="D197" s="13" t="s">
        <v>58</v>
      </c>
      <c r="E197" s="13">
        <f t="shared" si="6"/>
        <v>259053</v>
      </c>
      <c r="G197" s="8"/>
    </row>
    <row r="198" spans="1:7" s="7" customFormat="1" ht="54" customHeight="1">
      <c r="A198" s="14" t="s">
        <v>298</v>
      </c>
      <c r="B198" s="12" t="s">
        <v>311</v>
      </c>
      <c r="C198" s="13">
        <f>190470+65740</f>
        <v>256210</v>
      </c>
      <c r="D198" s="13"/>
      <c r="E198" s="13">
        <f t="shared" si="6"/>
        <v>256210</v>
      </c>
      <c r="G198" s="8"/>
    </row>
    <row r="199" spans="1:7" s="7" customFormat="1" ht="51" customHeight="1">
      <c r="A199" s="14" t="s">
        <v>299</v>
      </c>
      <c r="B199" s="12" t="s">
        <v>312</v>
      </c>
      <c r="C199" s="13">
        <f>190470+65740</f>
        <v>256210</v>
      </c>
      <c r="D199" s="13"/>
      <c r="E199" s="13">
        <f t="shared" si="6"/>
        <v>256210</v>
      </c>
      <c r="G199" s="8"/>
    </row>
    <row r="200" spans="1:7" s="7" customFormat="1" ht="49.5" customHeight="1">
      <c r="A200" s="14" t="s">
        <v>300</v>
      </c>
      <c r="B200" s="12" t="s">
        <v>357</v>
      </c>
      <c r="C200" s="13">
        <f>190470-181940</f>
        <v>8530</v>
      </c>
      <c r="D200" s="13"/>
      <c r="E200" s="13">
        <f t="shared" si="6"/>
        <v>8530</v>
      </c>
      <c r="G200" s="8"/>
    </row>
    <row r="201" spans="1:13" s="7" customFormat="1" ht="57.75" customHeight="1">
      <c r="A201" s="14" t="s">
        <v>301</v>
      </c>
      <c r="B201" s="12" t="s">
        <v>313</v>
      </c>
      <c r="C201" s="13">
        <f>256210</f>
        <v>256210</v>
      </c>
      <c r="D201" s="13"/>
      <c r="E201" s="13">
        <f t="shared" si="6"/>
        <v>256210</v>
      </c>
      <c r="G201" s="8"/>
      <c r="M201" s="7" t="s">
        <v>58</v>
      </c>
    </row>
    <row r="202" spans="1:7" s="7" customFormat="1" ht="57.75" customHeight="1">
      <c r="A202" s="14" t="s">
        <v>302</v>
      </c>
      <c r="B202" s="44" t="s">
        <v>314</v>
      </c>
      <c r="C202" s="13">
        <f>190470</f>
        <v>190470</v>
      </c>
      <c r="D202" s="13"/>
      <c r="E202" s="13">
        <f t="shared" si="6"/>
        <v>190470</v>
      </c>
      <c r="G202" s="8"/>
    </row>
    <row r="203" spans="1:7" s="7" customFormat="1" ht="42.75" customHeight="1">
      <c r="A203" s="32" t="s">
        <v>460</v>
      </c>
      <c r="B203" s="44" t="s">
        <v>461</v>
      </c>
      <c r="C203" s="33">
        <f>190470</f>
        <v>190470</v>
      </c>
      <c r="D203" s="33"/>
      <c r="E203" s="13">
        <f t="shared" si="6"/>
        <v>190470</v>
      </c>
      <c r="G203" s="8"/>
    </row>
    <row r="204" spans="1:7" s="7" customFormat="1" ht="42.75" customHeight="1">
      <c r="A204" s="32" t="s">
        <v>462</v>
      </c>
      <c r="B204" s="44" t="s">
        <v>463</v>
      </c>
      <c r="C204" s="33">
        <f>190470</f>
        <v>190470</v>
      </c>
      <c r="D204" s="33"/>
      <c r="E204" s="13">
        <f t="shared" si="6"/>
        <v>190470</v>
      </c>
      <c r="G204" s="8"/>
    </row>
    <row r="205" spans="1:7" s="7" customFormat="1" ht="51.75" customHeight="1">
      <c r="A205" s="14" t="s">
        <v>511</v>
      </c>
      <c r="B205" s="57" t="s">
        <v>513</v>
      </c>
      <c r="C205" s="33">
        <f>190470</f>
        <v>190470</v>
      </c>
      <c r="D205" s="13"/>
      <c r="E205" s="13">
        <f t="shared" si="6"/>
        <v>190470</v>
      </c>
      <c r="G205" s="8"/>
    </row>
    <row r="206" spans="1:7" s="7" customFormat="1" ht="42.75" customHeight="1">
      <c r="A206" s="32" t="s">
        <v>512</v>
      </c>
      <c r="B206" s="56" t="s">
        <v>514</v>
      </c>
      <c r="C206" s="33">
        <f>190470</f>
        <v>190470</v>
      </c>
      <c r="D206" s="33"/>
      <c r="E206" s="13">
        <f t="shared" si="6"/>
        <v>190470</v>
      </c>
      <c r="G206" s="8"/>
    </row>
    <row r="207" spans="1:7" s="7" customFormat="1" ht="28.5" customHeight="1">
      <c r="A207" s="14" t="s">
        <v>5</v>
      </c>
      <c r="B207" s="58" t="s">
        <v>408</v>
      </c>
      <c r="C207" s="13">
        <f>3402000-900000+396500-957760</f>
        <v>1940740</v>
      </c>
      <c r="D207" s="13"/>
      <c r="E207" s="13">
        <f>C207</f>
        <v>1940740</v>
      </c>
      <c r="G207" s="8"/>
    </row>
    <row r="208" spans="1:7" s="7" customFormat="1" ht="28.5" customHeight="1">
      <c r="A208" s="14" t="s">
        <v>506</v>
      </c>
      <c r="B208" s="58" t="s">
        <v>408</v>
      </c>
      <c r="C208" s="13">
        <f>2898500-977760</f>
        <v>1920740</v>
      </c>
      <c r="D208" s="13"/>
      <c r="E208" s="13">
        <f>C208</f>
        <v>1920740</v>
      </c>
      <c r="G208" s="8"/>
    </row>
    <row r="209" spans="1:7" s="7" customFormat="1" ht="36.75" customHeight="1">
      <c r="A209" s="14" t="s">
        <v>507</v>
      </c>
      <c r="B209" s="58" t="s">
        <v>508</v>
      </c>
      <c r="C209" s="13">
        <f>20000</f>
        <v>20000</v>
      </c>
      <c r="D209" s="13"/>
      <c r="E209" s="13">
        <f>C209</f>
        <v>20000</v>
      </c>
      <c r="G209" s="8"/>
    </row>
    <row r="210" spans="1:7" s="7" customFormat="1" ht="42.75" customHeight="1">
      <c r="A210" s="22" t="s">
        <v>6</v>
      </c>
      <c r="B210" s="12" t="s">
        <v>407</v>
      </c>
      <c r="C210" s="13">
        <f>16708950-500000-4652-2500000-1111364-2428950-10093984</f>
        <v>70000</v>
      </c>
      <c r="D210" s="13"/>
      <c r="E210" s="13">
        <f>C210</f>
        <v>70000</v>
      </c>
      <c r="G210" s="8"/>
    </row>
    <row r="211" spans="1:7" s="7" customFormat="1" ht="31.5" customHeight="1">
      <c r="A211" s="14" t="s">
        <v>41</v>
      </c>
      <c r="B211" s="12" t="s">
        <v>354</v>
      </c>
      <c r="C211" s="13">
        <f>2000000-46000</f>
        <v>1954000</v>
      </c>
      <c r="D211" s="13"/>
      <c r="E211" s="13">
        <f>C211</f>
        <v>1954000</v>
      </c>
      <c r="F211" s="39">
        <f>C212+C213+C214+C215+C216+C217+C218+C219+C220+C221+C222+C223+C224+C225+C226+C227+C228</f>
        <v>1942510</v>
      </c>
      <c r="G211" s="8"/>
    </row>
    <row r="212" spans="1:7" s="7" customFormat="1" ht="49.5" customHeight="1">
      <c r="A212" s="14" t="s">
        <v>321</v>
      </c>
      <c r="B212" s="10" t="s">
        <v>338</v>
      </c>
      <c r="C212" s="13">
        <f>93810</f>
        <v>93810</v>
      </c>
      <c r="D212" s="13"/>
      <c r="E212" s="13">
        <f aca="true" t="shared" si="7" ref="E212:E228">C212</f>
        <v>93810</v>
      </c>
      <c r="G212" s="8"/>
    </row>
    <row r="213" spans="1:7" s="7" customFormat="1" ht="49.5" customHeight="1">
      <c r="A213" s="14" t="s">
        <v>322</v>
      </c>
      <c r="B213" s="10" t="s">
        <v>339</v>
      </c>
      <c r="C213" s="13">
        <f>180510</f>
        <v>180510</v>
      </c>
      <c r="D213" s="13"/>
      <c r="E213" s="13">
        <f t="shared" si="7"/>
        <v>180510</v>
      </c>
      <c r="G213" s="8"/>
    </row>
    <row r="214" spans="1:7" s="7" customFormat="1" ht="49.5" customHeight="1">
      <c r="A214" s="14" t="s">
        <v>323</v>
      </c>
      <c r="B214" s="10" t="s">
        <v>340</v>
      </c>
      <c r="C214" s="13">
        <f>90970</f>
        <v>90970</v>
      </c>
      <c r="D214" s="13"/>
      <c r="E214" s="13">
        <f t="shared" si="7"/>
        <v>90970</v>
      </c>
      <c r="G214" s="8"/>
    </row>
    <row r="215" spans="1:7" s="7" customFormat="1" ht="49.5" customHeight="1">
      <c r="A215" s="14" t="s">
        <v>324</v>
      </c>
      <c r="B215" s="10" t="s">
        <v>355</v>
      </c>
      <c r="C215" s="13">
        <f>177670</f>
        <v>177670</v>
      </c>
      <c r="D215" s="13"/>
      <c r="E215" s="13">
        <f t="shared" si="7"/>
        <v>177670</v>
      </c>
      <c r="G215" s="8"/>
    </row>
    <row r="216" spans="1:7" s="7" customFormat="1" ht="49.5" customHeight="1">
      <c r="A216" s="14" t="s">
        <v>325</v>
      </c>
      <c r="B216" s="10" t="s">
        <v>341</v>
      </c>
      <c r="C216" s="13">
        <f>267210</f>
        <v>267210</v>
      </c>
      <c r="D216" s="13"/>
      <c r="E216" s="13">
        <f t="shared" si="7"/>
        <v>267210</v>
      </c>
      <c r="G216" s="8"/>
    </row>
    <row r="217" spans="1:7" s="7" customFormat="1" ht="49.5" customHeight="1">
      <c r="A217" s="14" t="s">
        <v>326</v>
      </c>
      <c r="B217" s="10" t="s">
        <v>342</v>
      </c>
      <c r="C217" s="13">
        <f aca="true" t="shared" si="8" ref="C217:C222">90970</f>
        <v>90970</v>
      </c>
      <c r="D217" s="13"/>
      <c r="E217" s="13">
        <f t="shared" si="7"/>
        <v>90970</v>
      </c>
      <c r="G217" s="8"/>
    </row>
    <row r="218" spans="1:7" s="7" customFormat="1" ht="49.5" customHeight="1">
      <c r="A218" s="14" t="s">
        <v>327</v>
      </c>
      <c r="B218" s="10" t="s">
        <v>343</v>
      </c>
      <c r="C218" s="13">
        <f t="shared" si="8"/>
        <v>90970</v>
      </c>
      <c r="D218" s="13"/>
      <c r="E218" s="13">
        <f t="shared" si="7"/>
        <v>90970</v>
      </c>
      <c r="G218" s="8"/>
    </row>
    <row r="219" spans="1:7" s="7" customFormat="1" ht="49.5" customHeight="1">
      <c r="A219" s="14" t="s">
        <v>328</v>
      </c>
      <c r="B219" s="10" t="s">
        <v>344</v>
      </c>
      <c r="C219" s="13">
        <f t="shared" si="8"/>
        <v>90970</v>
      </c>
      <c r="D219" s="13"/>
      <c r="E219" s="13">
        <f t="shared" si="7"/>
        <v>90970</v>
      </c>
      <c r="G219" s="8"/>
    </row>
    <row r="220" spans="1:7" s="7" customFormat="1" ht="49.5" customHeight="1">
      <c r="A220" s="14" t="s">
        <v>329</v>
      </c>
      <c r="B220" s="10" t="s">
        <v>345</v>
      </c>
      <c r="C220" s="13">
        <f t="shared" si="8"/>
        <v>90970</v>
      </c>
      <c r="D220" s="13"/>
      <c r="E220" s="13">
        <f t="shared" si="7"/>
        <v>90970</v>
      </c>
      <c r="G220" s="8"/>
    </row>
    <row r="221" spans="1:7" s="7" customFormat="1" ht="49.5" customHeight="1">
      <c r="A221" s="14" t="s">
        <v>330</v>
      </c>
      <c r="B221" s="10" t="s">
        <v>346</v>
      </c>
      <c r="C221" s="13">
        <f t="shared" si="8"/>
        <v>90970</v>
      </c>
      <c r="D221" s="13"/>
      <c r="E221" s="13">
        <f t="shared" si="7"/>
        <v>90970</v>
      </c>
      <c r="G221" s="8"/>
    </row>
    <row r="222" spans="1:7" s="7" customFormat="1" ht="49.5" customHeight="1">
      <c r="A222" s="14" t="s">
        <v>331</v>
      </c>
      <c r="B222" s="10" t="s">
        <v>347</v>
      </c>
      <c r="C222" s="13">
        <f t="shared" si="8"/>
        <v>90970</v>
      </c>
      <c r="D222" s="13"/>
      <c r="E222" s="13">
        <f t="shared" si="7"/>
        <v>90970</v>
      </c>
      <c r="G222" s="8"/>
    </row>
    <row r="223" spans="1:7" s="7" customFormat="1" ht="49.5" customHeight="1">
      <c r="A223" s="14" t="s">
        <v>332</v>
      </c>
      <c r="B223" s="10" t="s">
        <v>348</v>
      </c>
      <c r="C223" s="13">
        <f>177670-20000</f>
        <v>157670</v>
      </c>
      <c r="D223" s="13"/>
      <c r="E223" s="13">
        <f t="shared" si="7"/>
        <v>157670</v>
      </c>
      <c r="G223" s="8"/>
    </row>
    <row r="224" spans="1:7" s="7" customFormat="1" ht="49.5" customHeight="1">
      <c r="A224" s="14" t="s">
        <v>333</v>
      </c>
      <c r="B224" s="10" t="s">
        <v>349</v>
      </c>
      <c r="C224" s="13">
        <f>90970-13000</f>
        <v>77970</v>
      </c>
      <c r="D224" s="13"/>
      <c r="E224" s="13">
        <f t="shared" si="7"/>
        <v>77970</v>
      </c>
      <c r="G224" s="8"/>
    </row>
    <row r="225" spans="1:7" s="7" customFormat="1" ht="49.5" customHeight="1">
      <c r="A225" s="14" t="s">
        <v>334</v>
      </c>
      <c r="B225" s="10" t="s">
        <v>350</v>
      </c>
      <c r="C225" s="13">
        <f>90970-13000</f>
        <v>77970</v>
      </c>
      <c r="D225" s="13"/>
      <c r="E225" s="13">
        <f t="shared" si="7"/>
        <v>77970</v>
      </c>
      <c r="G225" s="8"/>
    </row>
    <row r="226" spans="1:7" s="7" customFormat="1" ht="49.5" customHeight="1">
      <c r="A226" s="14" t="s">
        <v>335</v>
      </c>
      <c r="B226" s="10" t="s">
        <v>351</v>
      </c>
      <c r="C226" s="13">
        <f>90970</f>
        <v>90970</v>
      </c>
      <c r="D226" s="13"/>
      <c r="E226" s="13">
        <f t="shared" si="7"/>
        <v>90970</v>
      </c>
      <c r="G226" s="8"/>
    </row>
    <row r="227" spans="1:7" s="7" customFormat="1" ht="45.75" customHeight="1">
      <c r="A227" s="14" t="s">
        <v>336</v>
      </c>
      <c r="B227" s="10" t="s">
        <v>352</v>
      </c>
      <c r="C227" s="13">
        <f>90970</f>
        <v>90970</v>
      </c>
      <c r="D227" s="13"/>
      <c r="E227" s="13">
        <f t="shared" si="7"/>
        <v>90970</v>
      </c>
      <c r="G227" s="8"/>
    </row>
    <row r="228" spans="1:7" s="7" customFormat="1" ht="43.5" customHeight="1">
      <c r="A228" s="14" t="s">
        <v>337</v>
      </c>
      <c r="B228" s="10" t="s">
        <v>353</v>
      </c>
      <c r="C228" s="13">
        <f>90970</f>
        <v>90970</v>
      </c>
      <c r="D228" s="13"/>
      <c r="E228" s="13">
        <f t="shared" si="7"/>
        <v>90970</v>
      </c>
      <c r="G228" s="8"/>
    </row>
    <row r="229" spans="1:7" s="7" customFormat="1" ht="45.75" customHeight="1">
      <c r="A229" s="14" t="s">
        <v>42</v>
      </c>
      <c r="B229" s="12" t="s">
        <v>246</v>
      </c>
      <c r="C229" s="13">
        <f>5000000-193311-397400-317000+1495800</f>
        <v>5588089</v>
      </c>
      <c r="D229" s="13"/>
      <c r="E229" s="13">
        <f aca="true" t="shared" si="9" ref="E229:E249">C229</f>
        <v>5588089</v>
      </c>
      <c r="F229" s="39">
        <f>E230+E231+E232+E233+E234+E235+E236+E237+E238+E239+E240+E241</f>
        <v>5588089</v>
      </c>
      <c r="G229" s="8"/>
    </row>
    <row r="230" spans="1:7" s="7" customFormat="1" ht="110.25" customHeight="1">
      <c r="A230" s="14" t="s">
        <v>181</v>
      </c>
      <c r="B230" s="12" t="s">
        <v>283</v>
      </c>
      <c r="C230" s="13">
        <f>6155</f>
        <v>6155</v>
      </c>
      <c r="D230" s="13"/>
      <c r="E230" s="13">
        <f t="shared" si="9"/>
        <v>6155</v>
      </c>
      <c r="G230" s="8"/>
    </row>
    <row r="231" spans="1:7" s="7" customFormat="1" ht="84" customHeight="1">
      <c r="A231" s="14" t="s">
        <v>189</v>
      </c>
      <c r="B231" s="12" t="s">
        <v>269</v>
      </c>
      <c r="C231" s="13">
        <f>7640</f>
        <v>7640</v>
      </c>
      <c r="D231" s="13"/>
      <c r="E231" s="13">
        <f t="shared" si="9"/>
        <v>7640</v>
      </c>
      <c r="F231" s="25"/>
      <c r="G231" s="8"/>
    </row>
    <row r="232" spans="1:7" s="7" customFormat="1" ht="84.75" customHeight="1">
      <c r="A232" s="14" t="s">
        <v>182</v>
      </c>
      <c r="B232" s="12" t="s">
        <v>270</v>
      </c>
      <c r="C232" s="13">
        <f>16140</f>
        <v>16140</v>
      </c>
      <c r="D232" s="13"/>
      <c r="E232" s="13">
        <f t="shared" si="9"/>
        <v>16140</v>
      </c>
      <c r="G232" s="8"/>
    </row>
    <row r="233" spans="1:13" s="7" customFormat="1" ht="60.75" customHeight="1">
      <c r="A233" s="14" t="s">
        <v>183</v>
      </c>
      <c r="B233" s="12" t="s">
        <v>271</v>
      </c>
      <c r="C233" s="13">
        <f>9415</f>
        <v>9415</v>
      </c>
      <c r="D233" s="13"/>
      <c r="E233" s="13">
        <f t="shared" si="9"/>
        <v>9415</v>
      </c>
      <c r="G233" s="8"/>
      <c r="M233" s="7" t="s">
        <v>58</v>
      </c>
    </row>
    <row r="234" spans="1:7" s="7" customFormat="1" ht="72" customHeight="1">
      <c r="A234" s="14" t="s">
        <v>184</v>
      </c>
      <c r="B234" s="12" t="s">
        <v>272</v>
      </c>
      <c r="C234" s="13">
        <f>1610</f>
        <v>1610</v>
      </c>
      <c r="D234" s="13"/>
      <c r="E234" s="13">
        <f t="shared" si="9"/>
        <v>1610</v>
      </c>
      <c r="G234" s="8"/>
    </row>
    <row r="235" spans="1:7" s="7" customFormat="1" ht="62.25" customHeight="1">
      <c r="A235" s="14" t="s">
        <v>185</v>
      </c>
      <c r="B235" s="12" t="s">
        <v>273</v>
      </c>
      <c r="C235" s="13">
        <v>3050</v>
      </c>
      <c r="D235" s="13"/>
      <c r="E235" s="13">
        <f t="shared" si="9"/>
        <v>3050</v>
      </c>
      <c r="G235" s="8"/>
    </row>
    <row r="236" spans="1:7" s="7" customFormat="1" ht="45" customHeight="1">
      <c r="A236" s="14" t="s">
        <v>315</v>
      </c>
      <c r="B236" s="49" t="s">
        <v>319</v>
      </c>
      <c r="C236" s="13">
        <f>582900-189600</f>
        <v>393300</v>
      </c>
      <c r="D236" s="13"/>
      <c r="E236" s="13">
        <f t="shared" si="9"/>
        <v>393300</v>
      </c>
      <c r="G236" s="8"/>
    </row>
    <row r="237" spans="1:7" s="7" customFormat="1" ht="50.25" customHeight="1">
      <c r="A237" s="14" t="s">
        <v>316</v>
      </c>
      <c r="B237" s="52" t="s">
        <v>320</v>
      </c>
      <c r="C237" s="13">
        <f>483010-207800</f>
        <v>275210</v>
      </c>
      <c r="D237" s="13"/>
      <c r="E237" s="13">
        <f t="shared" si="9"/>
        <v>275210</v>
      </c>
      <c r="G237" s="8"/>
    </row>
    <row r="238" spans="1:7" s="7" customFormat="1" ht="69.75" customHeight="1">
      <c r="A238" s="14" t="s">
        <v>317</v>
      </c>
      <c r="B238" s="49" t="s">
        <v>472</v>
      </c>
      <c r="C238" s="13">
        <f>581440-317000</f>
        <v>264440</v>
      </c>
      <c r="D238" s="13"/>
      <c r="E238" s="13">
        <f t="shared" si="9"/>
        <v>264440</v>
      </c>
      <c r="G238" s="8"/>
    </row>
    <row r="239" spans="1:7" s="7" customFormat="1" ht="68.25" customHeight="1">
      <c r="A239" s="14" t="s">
        <v>318</v>
      </c>
      <c r="B239" s="49" t="s">
        <v>356</v>
      </c>
      <c r="C239" s="13">
        <v>2939329</v>
      </c>
      <c r="D239" s="13"/>
      <c r="E239" s="13">
        <f t="shared" si="9"/>
        <v>2939329</v>
      </c>
      <c r="G239" s="8"/>
    </row>
    <row r="240" spans="1:7" s="7" customFormat="1" ht="99.75" customHeight="1">
      <c r="A240" s="14" t="s">
        <v>396</v>
      </c>
      <c r="B240" s="49" t="s">
        <v>447</v>
      </c>
      <c r="C240" s="13">
        <v>176000</v>
      </c>
      <c r="D240" s="13"/>
      <c r="E240" s="13">
        <f t="shared" si="9"/>
        <v>176000</v>
      </c>
      <c r="G240" s="8"/>
    </row>
    <row r="241" spans="1:7" s="7" customFormat="1" ht="60.75" customHeight="1">
      <c r="A241" s="14" t="s">
        <v>510</v>
      </c>
      <c r="B241" s="59" t="s">
        <v>519</v>
      </c>
      <c r="C241" s="13">
        <f>1495800</f>
        <v>1495800</v>
      </c>
      <c r="D241" s="13"/>
      <c r="E241" s="13">
        <f t="shared" si="9"/>
        <v>1495800</v>
      </c>
      <c r="G241" s="8"/>
    </row>
    <row r="242" spans="1:7" s="7" customFormat="1" ht="45.75" customHeight="1">
      <c r="A242" s="14" t="s">
        <v>60</v>
      </c>
      <c r="B242" s="12" t="s">
        <v>127</v>
      </c>
      <c r="C242" s="13">
        <f>1000000+500000-300000</f>
        <v>1200000</v>
      </c>
      <c r="D242" s="13"/>
      <c r="E242" s="13">
        <f t="shared" si="9"/>
        <v>1200000</v>
      </c>
      <c r="G242" s="8"/>
    </row>
    <row r="243" spans="1:13" s="7" customFormat="1" ht="48" customHeight="1">
      <c r="A243" s="14" t="s">
        <v>77</v>
      </c>
      <c r="B243" s="12" t="s">
        <v>375</v>
      </c>
      <c r="C243" s="13">
        <f>30000000-4737328</f>
        <v>25262672</v>
      </c>
      <c r="D243" s="13"/>
      <c r="E243" s="13">
        <f t="shared" si="9"/>
        <v>25262672</v>
      </c>
      <c r="G243" s="8"/>
      <c r="M243" s="7" t="s">
        <v>58</v>
      </c>
    </row>
    <row r="244" spans="1:9" s="7" customFormat="1" ht="49.5" customHeight="1">
      <c r="A244" s="14" t="s">
        <v>186</v>
      </c>
      <c r="B244" s="12" t="s">
        <v>82</v>
      </c>
      <c r="C244" s="13">
        <f>100889-29260</f>
        <v>71629</v>
      </c>
      <c r="D244" s="13"/>
      <c r="E244" s="13">
        <f t="shared" si="9"/>
        <v>71629</v>
      </c>
      <c r="G244" s="8"/>
      <c r="I244" s="7" t="s">
        <v>58</v>
      </c>
    </row>
    <row r="245" spans="1:7" s="7" customFormat="1" ht="64.5" customHeight="1">
      <c r="A245" s="14" t="s">
        <v>188</v>
      </c>
      <c r="B245" s="38" t="s">
        <v>274</v>
      </c>
      <c r="C245" s="13">
        <f>4652</f>
        <v>4652</v>
      </c>
      <c r="D245" s="13"/>
      <c r="E245" s="13">
        <f t="shared" si="9"/>
        <v>4652</v>
      </c>
      <c r="G245" s="8"/>
    </row>
    <row r="246" spans="1:7" s="7" customFormat="1" ht="42.75" customHeight="1">
      <c r="A246" s="14" t="s">
        <v>59</v>
      </c>
      <c r="B246" s="28" t="s">
        <v>432</v>
      </c>
      <c r="C246" s="13">
        <f>1485500-272153-154100</f>
        <v>1059247</v>
      </c>
      <c r="D246" s="13"/>
      <c r="E246" s="13">
        <f t="shared" si="9"/>
        <v>1059247</v>
      </c>
      <c r="G246" s="8"/>
    </row>
    <row r="247" spans="1:7" s="7" customFormat="1" ht="42.75" customHeight="1">
      <c r="A247" s="14" t="s">
        <v>79</v>
      </c>
      <c r="B247" s="28" t="s">
        <v>438</v>
      </c>
      <c r="C247" s="13">
        <f>330871-189649</f>
        <v>141222</v>
      </c>
      <c r="D247" s="13"/>
      <c r="E247" s="13">
        <f t="shared" si="9"/>
        <v>141222</v>
      </c>
      <c r="G247" s="8"/>
    </row>
    <row r="248" spans="1:7" s="7" customFormat="1" ht="48" customHeight="1">
      <c r="A248" s="14" t="s">
        <v>80</v>
      </c>
      <c r="B248" s="28" t="s">
        <v>439</v>
      </c>
      <c r="C248" s="13">
        <f>1634500+142423+81903</f>
        <v>1858826</v>
      </c>
      <c r="D248" s="13"/>
      <c r="E248" s="13">
        <f t="shared" si="9"/>
        <v>1858826</v>
      </c>
      <c r="G248" s="8"/>
    </row>
    <row r="249" spans="1:7" s="7" customFormat="1" ht="63" customHeight="1">
      <c r="A249" s="14" t="s">
        <v>81</v>
      </c>
      <c r="B249" s="45" t="s">
        <v>446</v>
      </c>
      <c r="C249" s="13">
        <f>1940371-81903</f>
        <v>1858468</v>
      </c>
      <c r="D249" s="13"/>
      <c r="E249" s="13">
        <f t="shared" si="9"/>
        <v>1858468</v>
      </c>
      <c r="G249" s="8"/>
    </row>
    <row r="250" spans="1:7" s="7" customFormat="1" ht="25.5" customHeight="1">
      <c r="A250" s="14"/>
      <c r="B250" s="12" t="s">
        <v>440</v>
      </c>
      <c r="C250" s="13">
        <f>C106+C129+C207+C210+C211+C229+C242+C243+C244+C245+C246+C247+C248+C249</f>
        <v>73573107</v>
      </c>
      <c r="D250" s="13"/>
      <c r="E250" s="13">
        <f aca="true" t="shared" si="10" ref="E250:E265">C250</f>
        <v>73573107</v>
      </c>
      <c r="G250" s="8"/>
    </row>
    <row r="251" spans="1:7" s="7" customFormat="1" ht="28.5" customHeight="1">
      <c r="A251" s="14" t="s">
        <v>275</v>
      </c>
      <c r="B251" s="12" t="s">
        <v>31</v>
      </c>
      <c r="C251" s="13">
        <f>1000000-720000</f>
        <v>280000</v>
      </c>
      <c r="D251" s="13"/>
      <c r="E251" s="13">
        <f t="shared" si="10"/>
        <v>280000</v>
      </c>
      <c r="G251" s="8"/>
    </row>
    <row r="252" spans="1:16" s="7" customFormat="1" ht="31.5" customHeight="1">
      <c r="A252" s="14"/>
      <c r="B252" s="12" t="s">
        <v>441</v>
      </c>
      <c r="C252" s="13">
        <f>C251</f>
        <v>280000</v>
      </c>
      <c r="D252" s="13"/>
      <c r="E252" s="13">
        <f t="shared" si="10"/>
        <v>280000</v>
      </c>
      <c r="G252" s="8"/>
      <c r="P252" s="7" t="s">
        <v>58</v>
      </c>
    </row>
    <row r="253" spans="1:7" s="3" customFormat="1" ht="27" customHeight="1">
      <c r="A253" s="14" t="s">
        <v>394</v>
      </c>
      <c r="B253" s="23" t="s">
        <v>126</v>
      </c>
      <c r="C253" s="13">
        <f>1833400</f>
        <v>1833400</v>
      </c>
      <c r="D253" s="55"/>
      <c r="E253" s="20">
        <f t="shared" si="10"/>
        <v>1833400</v>
      </c>
      <c r="G253" s="6"/>
    </row>
    <row r="254" spans="1:7" s="3" customFormat="1" ht="69" customHeight="1">
      <c r="A254" s="14" t="s">
        <v>433</v>
      </c>
      <c r="B254" s="12" t="s">
        <v>61</v>
      </c>
      <c r="C254" s="13">
        <f>2500000-1954000</f>
        <v>546000</v>
      </c>
      <c r="D254" s="13"/>
      <c r="E254" s="13">
        <f t="shared" si="10"/>
        <v>546000</v>
      </c>
      <c r="G254" s="6"/>
    </row>
    <row r="255" spans="1:7" s="3" customFormat="1" ht="79.5" customHeight="1">
      <c r="A255" s="14" t="s">
        <v>442</v>
      </c>
      <c r="B255" s="12" t="s">
        <v>518</v>
      </c>
      <c r="C255" s="13">
        <f>C256+C257+C258+C259+C260+C261+C262+C263</f>
        <v>316895</v>
      </c>
      <c r="D255" s="13"/>
      <c r="E255" s="13">
        <f t="shared" si="10"/>
        <v>316895</v>
      </c>
      <c r="G255" s="6"/>
    </row>
    <row r="256" spans="1:7" s="3" customFormat="1" ht="43.5" customHeight="1">
      <c r="A256" s="14" t="s">
        <v>443</v>
      </c>
      <c r="B256" s="31" t="s">
        <v>436</v>
      </c>
      <c r="C256" s="13">
        <f>52920</f>
        <v>52920</v>
      </c>
      <c r="D256" s="13"/>
      <c r="E256" s="13">
        <f t="shared" si="10"/>
        <v>52920</v>
      </c>
      <c r="G256" s="6"/>
    </row>
    <row r="257" spans="1:10" s="3" customFormat="1" ht="48" customHeight="1">
      <c r="A257" s="14" t="s">
        <v>444</v>
      </c>
      <c r="B257" s="31" t="s">
        <v>501</v>
      </c>
      <c r="C257" s="13">
        <f>63000+2800</f>
        <v>65800</v>
      </c>
      <c r="D257" s="13"/>
      <c r="E257" s="13">
        <f t="shared" si="10"/>
        <v>65800</v>
      </c>
      <c r="G257" s="6"/>
      <c r="J257" s="3" t="s">
        <v>58</v>
      </c>
    </row>
    <row r="258" spans="1:7" s="3" customFormat="1" ht="51" customHeight="1">
      <c r="A258" s="14" t="s">
        <v>445</v>
      </c>
      <c r="B258" s="31" t="s">
        <v>437</v>
      </c>
      <c r="C258" s="13">
        <f>8500+2200</f>
        <v>10700</v>
      </c>
      <c r="D258" s="13"/>
      <c r="E258" s="13">
        <f t="shared" si="10"/>
        <v>10700</v>
      </c>
      <c r="G258" s="6"/>
    </row>
    <row r="259" spans="1:7" s="3" customFormat="1" ht="48.75" customHeight="1">
      <c r="A259" s="14" t="s">
        <v>450</v>
      </c>
      <c r="B259" s="31" t="s">
        <v>452</v>
      </c>
      <c r="C259" s="13">
        <v>21600</v>
      </c>
      <c r="D259" s="13"/>
      <c r="E259" s="13">
        <f t="shared" si="10"/>
        <v>21600</v>
      </c>
      <c r="G259" s="6"/>
    </row>
    <row r="260" spans="1:7" s="3" customFormat="1" ht="49.5" customHeight="1">
      <c r="A260" s="14" t="s">
        <v>451</v>
      </c>
      <c r="B260" s="31" t="s">
        <v>453</v>
      </c>
      <c r="C260" s="13">
        <v>14400</v>
      </c>
      <c r="D260" s="13"/>
      <c r="E260" s="13">
        <f t="shared" si="10"/>
        <v>14400</v>
      </c>
      <c r="G260" s="6"/>
    </row>
    <row r="261" spans="1:7" s="3" customFormat="1" ht="98.25" customHeight="1">
      <c r="A261" s="14" t="s">
        <v>467</v>
      </c>
      <c r="B261" s="31" t="s">
        <v>470</v>
      </c>
      <c r="C261" s="13">
        <v>80000</v>
      </c>
      <c r="D261" s="13"/>
      <c r="E261" s="13">
        <f t="shared" si="10"/>
        <v>80000</v>
      </c>
      <c r="G261" s="6"/>
    </row>
    <row r="262" spans="1:7" s="3" customFormat="1" ht="55.5" customHeight="1">
      <c r="A262" s="14" t="s">
        <v>477</v>
      </c>
      <c r="B262" s="31" t="s">
        <v>494</v>
      </c>
      <c r="C262" s="13">
        <f>50000-725</f>
        <v>49275</v>
      </c>
      <c r="D262" s="13"/>
      <c r="E262" s="13">
        <f t="shared" si="10"/>
        <v>49275</v>
      </c>
      <c r="G262" s="6"/>
    </row>
    <row r="263" spans="1:11" s="3" customFormat="1" ht="79.5" customHeight="1">
      <c r="A263" s="14" t="s">
        <v>485</v>
      </c>
      <c r="B263" s="31" t="s">
        <v>486</v>
      </c>
      <c r="C263" s="13">
        <f>22200</f>
        <v>22200</v>
      </c>
      <c r="D263" s="13"/>
      <c r="E263" s="13">
        <f t="shared" si="10"/>
        <v>22200</v>
      </c>
      <c r="G263" s="6"/>
      <c r="K263" s="3" t="s">
        <v>493</v>
      </c>
    </row>
    <row r="264" spans="1:7" s="3" customFormat="1" ht="35.25" customHeight="1">
      <c r="A264" s="55"/>
      <c r="B264" s="12" t="s">
        <v>476</v>
      </c>
      <c r="C264" s="13">
        <f>C253+C254+C255</f>
        <v>2696295</v>
      </c>
      <c r="D264" s="55"/>
      <c r="E264" s="20">
        <f>C264</f>
        <v>2696295</v>
      </c>
      <c r="G264" s="6"/>
    </row>
    <row r="265" spans="1:7" s="7" customFormat="1" ht="30.75" customHeight="1">
      <c r="A265" s="24"/>
      <c r="B265" s="12" t="s">
        <v>190</v>
      </c>
      <c r="C265" s="13">
        <f>C250+C264+C252</f>
        <v>76549402</v>
      </c>
      <c r="D265" s="13"/>
      <c r="E265" s="13">
        <f t="shared" si="10"/>
        <v>76549402</v>
      </c>
      <c r="G265" s="8"/>
    </row>
    <row r="266" spans="1:5" s="3" customFormat="1" ht="27" customHeight="1" hidden="1">
      <c r="A266" s="14"/>
      <c r="B266" s="60" t="s">
        <v>33</v>
      </c>
      <c r="C266" s="68"/>
      <c r="D266" s="68"/>
      <c r="E266" s="68"/>
    </row>
    <row r="267" spans="1:5" s="3" customFormat="1" ht="44.25" customHeight="1" hidden="1">
      <c r="A267" s="14" t="s">
        <v>35</v>
      </c>
      <c r="B267" s="12" t="s">
        <v>34</v>
      </c>
      <c r="C267" s="13">
        <f>6000000-6000000</f>
        <v>0</v>
      </c>
      <c r="D267" s="13"/>
      <c r="E267" s="13">
        <f>C267</f>
        <v>0</v>
      </c>
    </row>
    <row r="268" spans="1:5" s="3" customFormat="1" ht="30" customHeight="1" hidden="1">
      <c r="A268" s="14"/>
      <c r="B268" s="12" t="s">
        <v>36</v>
      </c>
      <c r="C268" s="13">
        <f>C267</f>
        <v>0</v>
      </c>
      <c r="D268" s="13"/>
      <c r="E268" s="13">
        <f>C268</f>
        <v>0</v>
      </c>
    </row>
    <row r="269" spans="1:5" s="3" customFormat="1" ht="18.75" customHeight="1" hidden="1">
      <c r="A269" s="14"/>
      <c r="B269" s="12" t="s">
        <v>32</v>
      </c>
      <c r="C269" s="13">
        <f>C268</f>
        <v>0</v>
      </c>
      <c r="D269" s="13"/>
      <c r="E269" s="13">
        <f>C269</f>
        <v>0</v>
      </c>
    </row>
    <row r="270" spans="1:5" s="3" customFormat="1" ht="29.25" customHeight="1">
      <c r="A270" s="14"/>
      <c r="B270" s="12" t="s">
        <v>191</v>
      </c>
      <c r="C270" s="13">
        <f>C269+C265+C104</f>
        <v>224977780.31</v>
      </c>
      <c r="D270" s="13">
        <f>D269+D265+D104</f>
        <v>148428378.31</v>
      </c>
      <c r="E270" s="13">
        <f>E269+E265+E104</f>
        <v>76549402</v>
      </c>
    </row>
    <row r="271" spans="1:5" s="9" customFormat="1" ht="64.5" customHeight="1">
      <c r="A271" s="7"/>
      <c r="B271" s="46" t="s">
        <v>504</v>
      </c>
      <c r="C271" s="47" t="s">
        <v>58</v>
      </c>
      <c r="D271" s="67" t="s">
        <v>505</v>
      </c>
      <c r="E271" s="67"/>
    </row>
    <row r="272" spans="1:5" s="1" customFormat="1" ht="12.75">
      <c r="A272"/>
      <c r="B272"/>
      <c r="C272"/>
      <c r="D272"/>
      <c r="E272"/>
    </row>
    <row r="276" spans="4:9" ht="12.75">
      <c r="D276" s="4"/>
      <c r="I276" t="s">
        <v>58</v>
      </c>
    </row>
  </sheetData>
  <sheetProtection/>
  <mergeCells count="12">
    <mergeCell ref="C1:E1"/>
    <mergeCell ref="D5:E5"/>
    <mergeCell ref="D271:E271"/>
    <mergeCell ref="B266:E266"/>
    <mergeCell ref="B2:E2"/>
    <mergeCell ref="B33:E33"/>
    <mergeCell ref="A4:A6"/>
    <mergeCell ref="B4:B6"/>
    <mergeCell ref="A105:E105"/>
    <mergeCell ref="B8:E8"/>
    <mergeCell ref="C4:C6"/>
    <mergeCell ref="D4:E4"/>
  </mergeCells>
  <printOptions/>
  <pageMargins left="0.7086614173228347" right="0.2755905511811024" top="0.7086614173228347" bottom="0.6299212598425197" header="0.11811023622047245" footer="0.2362204724409449"/>
  <pageSetup fitToHeight="0" horizontalDpi="600" verticalDpi="600" orientation="landscape" paperSize="9" scale="89" r:id="rId1"/>
  <rowBreaks count="2" manualBreakCount="2">
    <brk id="29" max="4" man="1"/>
    <brk id="14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FuckYouBill</dc:creator>
  <cp:keywords/>
  <dc:description/>
  <cp:lastModifiedBy>Admin</cp:lastModifiedBy>
  <cp:lastPrinted>2019-10-01T08:37:57Z</cp:lastPrinted>
  <dcterms:created xsi:type="dcterms:W3CDTF">2009-05-12T09:31:38Z</dcterms:created>
  <dcterms:modified xsi:type="dcterms:W3CDTF">2019-11-12T09:57:28Z</dcterms:modified>
  <cp:category/>
  <cp:version/>
  <cp:contentType/>
  <cp:contentStatus/>
</cp:coreProperties>
</file>