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ЕВ\Магліч М.В\для Люды\МЕГАПОЛІС\"/>
    </mc:Choice>
  </mc:AlternateContent>
  <xr:revisionPtr revIDLastSave="0" documentId="13_ncr:1_{BF744434-99AE-4BE1-8AA0-898F38298C89}" xr6:coauthVersionLast="40" xr6:coauthVersionMax="47" xr10:uidLastSave="{00000000-0000-0000-0000-000000000000}"/>
  <bookViews>
    <workbookView xWindow="-108" yWindow="-108" windowWidth="23256" windowHeight="12576" tabRatio="837" xr2:uid="{B2071A5A-9188-4194-996D-3AA91389188E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фін.плану'!$A$1:$O$153</definedName>
    <definedName name="_xlnm.Print_Area" localSheetId="5">'VI-VII джер.кап.інв.'!$A$1:$AE$40</definedName>
    <definedName name="_xlnm.Print_Area" localSheetId="4">'ІV кап. інвеат. V кред. '!$A$1:$M$41</definedName>
    <definedName name="_xlnm.Print_Area" localSheetId="2">'ІІ. Розп. ч.п. та розр. з бюд.'!$A$1:$M$53</definedName>
    <definedName name="_xlnm.Print_Area" localSheetId="0">'Осн. фін. пок.'!$A$1:$J$139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8" i="20" l="1"/>
  <c r="I138" i="20"/>
  <c r="H138" i="20"/>
  <c r="G138" i="20"/>
  <c r="J65" i="20" l="1"/>
  <c r="I65" i="20"/>
  <c r="H65" i="20"/>
  <c r="G65" i="20"/>
  <c r="L19" i="25" l="1"/>
  <c r="C64" i="14" l="1"/>
  <c r="C60" i="14"/>
  <c r="J67" i="20" l="1"/>
  <c r="H67" i="20"/>
  <c r="G67" i="20"/>
  <c r="I67" i="20" l="1"/>
  <c r="F43" i="20"/>
  <c r="L21" i="25" l="1"/>
  <c r="L20" i="25"/>
  <c r="N14" i="25"/>
  <c r="H70" i="26" s="1"/>
  <c r="O14" i="25"/>
  <c r="I70" i="26" s="1"/>
  <c r="P14" i="25"/>
  <c r="J70" i="26" s="1"/>
  <c r="M14" i="25"/>
  <c r="G70" i="26" s="1"/>
  <c r="Q21" i="25"/>
  <c r="Q19" i="25"/>
  <c r="Q20" i="25"/>
  <c r="L14" i="25" l="1"/>
  <c r="C14" i="20" l="1"/>
  <c r="C42" i="14" l="1"/>
  <c r="D45" i="14"/>
  <c r="C68" i="14"/>
  <c r="F32" i="20" l="1"/>
  <c r="E8" i="26" l="1"/>
  <c r="E19" i="26"/>
  <c r="E60" i="26"/>
  <c r="E21" i="26" l="1"/>
  <c r="E13" i="26"/>
  <c r="E22" i="26" l="1"/>
  <c r="J8" i="26" l="1"/>
  <c r="I8" i="26"/>
  <c r="H8" i="26"/>
  <c r="G8" i="26"/>
  <c r="E86" i="26"/>
  <c r="H33" i="20" l="1"/>
  <c r="G33" i="20"/>
  <c r="F30" i="20"/>
  <c r="F28" i="20"/>
  <c r="E31" i="20"/>
  <c r="E110" i="14" l="1"/>
  <c r="E138" i="20" l="1"/>
  <c r="E117" i="20"/>
  <c r="E73" i="20"/>
  <c r="E77" i="20"/>
  <c r="E67" i="20"/>
  <c r="E65" i="20"/>
  <c r="E27" i="20"/>
  <c r="E12" i="26" l="1"/>
  <c r="E44" i="26" l="1"/>
  <c r="H8" i="24" l="1"/>
  <c r="E79" i="26" l="1"/>
  <c r="E107" i="14"/>
  <c r="C29" i="24"/>
  <c r="D29" i="24" l="1"/>
  <c r="E66" i="26" l="1"/>
  <c r="E65" i="26"/>
  <c r="H13" i="24"/>
  <c r="H12" i="24"/>
  <c r="H11" i="24"/>
  <c r="H9" i="24"/>
  <c r="E70" i="26"/>
  <c r="E61" i="26" l="1"/>
  <c r="E59" i="26"/>
  <c r="E42" i="26" l="1"/>
  <c r="E41" i="26"/>
  <c r="E40" i="26"/>
  <c r="E39" i="26"/>
  <c r="E34" i="26"/>
  <c r="E33" i="26"/>
  <c r="E32" i="26"/>
  <c r="E23" i="26"/>
  <c r="H60" i="26" l="1"/>
  <c r="I60" i="26"/>
  <c r="J60" i="26"/>
  <c r="X14" i="25"/>
  <c r="Y14" i="25"/>
  <c r="Z14" i="25"/>
  <c r="W14" i="25"/>
  <c r="T14" i="25"/>
  <c r="U14" i="25"/>
  <c r="R14" i="25"/>
  <c r="S14" i="25"/>
  <c r="AC14" i="25" l="1"/>
  <c r="H65" i="26" s="1"/>
  <c r="V10" i="25"/>
  <c r="AB20" i="25" l="1"/>
  <c r="AC20" i="25"/>
  <c r="AD20" i="25"/>
  <c r="AE20" i="25"/>
  <c r="AB21" i="25"/>
  <c r="AC21" i="25"/>
  <c r="AD21" i="25"/>
  <c r="AE21" i="25"/>
  <c r="AA20" i="25" l="1"/>
  <c r="AA21" i="25"/>
  <c r="D91" i="14" l="1"/>
  <c r="D42" i="26" l="1"/>
  <c r="D41" i="26"/>
  <c r="D40" i="26"/>
  <c r="D39" i="26"/>
  <c r="D34" i="26"/>
  <c r="D33" i="26"/>
  <c r="D32" i="26"/>
  <c r="D35" i="26"/>
  <c r="E37" i="20"/>
  <c r="C37" i="20"/>
  <c r="F118" i="20" l="1"/>
  <c r="F119" i="20"/>
  <c r="F116" i="20"/>
  <c r="F66" i="14" l="1"/>
  <c r="H62" i="26" l="1"/>
  <c r="I62" i="26"/>
  <c r="J62" i="26"/>
  <c r="G62" i="26"/>
  <c r="H59" i="26"/>
  <c r="I59" i="26"/>
  <c r="J59" i="26"/>
  <c r="G59" i="26"/>
  <c r="H61" i="26"/>
  <c r="I61" i="26"/>
  <c r="J61" i="26"/>
  <c r="G61" i="26"/>
  <c r="G60" i="26"/>
  <c r="O23" i="25"/>
  <c r="AB16" i="25"/>
  <c r="AC16" i="25"/>
  <c r="AD16" i="25"/>
  <c r="AE16" i="25"/>
  <c r="AB17" i="25"/>
  <c r="AC17" i="25"/>
  <c r="AD17" i="25"/>
  <c r="AE17" i="25"/>
  <c r="AB18" i="25"/>
  <c r="AC18" i="25"/>
  <c r="AD18" i="25"/>
  <c r="AE18" i="25"/>
  <c r="AB19" i="25"/>
  <c r="AC19" i="25"/>
  <c r="AD19" i="25"/>
  <c r="AE19" i="25"/>
  <c r="AE15" i="25"/>
  <c r="AD15" i="25"/>
  <c r="AC15" i="25"/>
  <c r="AB15" i="25"/>
  <c r="V15" i="25"/>
  <c r="V16" i="25"/>
  <c r="V17" i="25"/>
  <c r="V18" i="25"/>
  <c r="V19" i="25"/>
  <c r="Z23" i="25"/>
  <c r="Y23" i="25"/>
  <c r="X23" i="25"/>
  <c r="W23" i="25"/>
  <c r="Q18" i="25"/>
  <c r="Q17" i="25"/>
  <c r="Q16" i="25"/>
  <c r="Q15" i="25"/>
  <c r="H66" i="26"/>
  <c r="G66" i="26"/>
  <c r="L15" i="25"/>
  <c r="L16" i="25"/>
  <c r="L17" i="25"/>
  <c r="L18" i="25"/>
  <c r="E28" i="24"/>
  <c r="I28" i="24"/>
  <c r="J28" i="24"/>
  <c r="D28" i="24"/>
  <c r="C28" i="24"/>
  <c r="H29" i="26"/>
  <c r="I29" i="26"/>
  <c r="J29" i="26"/>
  <c r="G29" i="26"/>
  <c r="H30" i="26"/>
  <c r="I30" i="26"/>
  <c r="J30" i="26"/>
  <c r="G30" i="26"/>
  <c r="H23" i="26"/>
  <c r="I23" i="26"/>
  <c r="J23" i="26"/>
  <c r="G23" i="26"/>
  <c r="J11" i="26"/>
  <c r="I11" i="26"/>
  <c r="H11" i="26"/>
  <c r="G11" i="26"/>
  <c r="D64" i="26"/>
  <c r="E64" i="26"/>
  <c r="C64" i="26"/>
  <c r="F36" i="26"/>
  <c r="D38" i="26"/>
  <c r="D28" i="26" s="1"/>
  <c r="E38" i="26"/>
  <c r="C38" i="26"/>
  <c r="D11" i="26"/>
  <c r="E11" i="26"/>
  <c r="C11" i="26"/>
  <c r="K44" i="23"/>
  <c r="L44" i="23"/>
  <c r="M44" i="23"/>
  <c r="J44" i="23"/>
  <c r="K45" i="23"/>
  <c r="H41" i="26" s="1"/>
  <c r="L45" i="23"/>
  <c r="I41" i="26" s="1"/>
  <c r="M45" i="23"/>
  <c r="J41" i="26" s="1"/>
  <c r="J45" i="23"/>
  <c r="G41" i="26" s="1"/>
  <c r="K39" i="23"/>
  <c r="H40" i="26" s="1"/>
  <c r="L39" i="23"/>
  <c r="I40" i="26" s="1"/>
  <c r="M39" i="23"/>
  <c r="J40" i="26" s="1"/>
  <c r="J39" i="23"/>
  <c r="G40" i="26" s="1"/>
  <c r="K37" i="23"/>
  <c r="H39" i="26" s="1"/>
  <c r="L37" i="23"/>
  <c r="I39" i="26" s="1"/>
  <c r="M37" i="23"/>
  <c r="J39" i="26" s="1"/>
  <c r="J37" i="23"/>
  <c r="G39" i="26" s="1"/>
  <c r="F25" i="23"/>
  <c r="K33" i="23"/>
  <c r="H34" i="26" s="1"/>
  <c r="L33" i="23"/>
  <c r="I34" i="26" s="1"/>
  <c r="M33" i="23"/>
  <c r="J34" i="26" s="1"/>
  <c r="J33" i="23"/>
  <c r="G34" i="26" s="1"/>
  <c r="K34" i="23"/>
  <c r="H42" i="26" s="1"/>
  <c r="L34" i="23"/>
  <c r="I42" i="26" s="1"/>
  <c r="M34" i="23"/>
  <c r="J42" i="26" s="1"/>
  <c r="J34" i="23"/>
  <c r="G42" i="26" s="1"/>
  <c r="J32" i="23"/>
  <c r="G33" i="26" s="1"/>
  <c r="K32" i="23"/>
  <c r="H33" i="26" s="1"/>
  <c r="L32" i="23"/>
  <c r="M32" i="23"/>
  <c r="J33" i="26" s="1"/>
  <c r="K31" i="23"/>
  <c r="H32" i="26" s="1"/>
  <c r="L31" i="23"/>
  <c r="I32" i="26" s="1"/>
  <c r="M31" i="23"/>
  <c r="J32" i="26" s="1"/>
  <c r="J31" i="23"/>
  <c r="G32" i="26" s="1"/>
  <c r="F114" i="20"/>
  <c r="F113" i="20"/>
  <c r="G29" i="24" s="1"/>
  <c r="F103" i="20"/>
  <c r="F104" i="20"/>
  <c r="F105" i="20"/>
  <c r="F106" i="20"/>
  <c r="F107" i="20"/>
  <c r="F102" i="20"/>
  <c r="F100" i="20"/>
  <c r="F84" i="20"/>
  <c r="F85" i="20"/>
  <c r="F86" i="20"/>
  <c r="F87" i="20"/>
  <c r="F88" i="20"/>
  <c r="F89" i="20"/>
  <c r="F90" i="20"/>
  <c r="F91" i="20"/>
  <c r="F92" i="20"/>
  <c r="F93" i="20"/>
  <c r="F94" i="20"/>
  <c r="F83" i="20"/>
  <c r="F81" i="20"/>
  <c r="G75" i="20"/>
  <c r="G68" i="20" s="1"/>
  <c r="F77" i="20"/>
  <c r="F78" i="20"/>
  <c r="F76" i="20"/>
  <c r="F39" i="20"/>
  <c r="F40" i="20"/>
  <c r="F41" i="20"/>
  <c r="F42" i="20"/>
  <c r="F38" i="20"/>
  <c r="AB14" i="25" l="1"/>
  <c r="G65" i="26" s="1"/>
  <c r="G22" i="26"/>
  <c r="P23" i="25"/>
  <c r="AE22" i="25"/>
  <c r="M13" i="24" s="1"/>
  <c r="H22" i="26"/>
  <c r="I22" i="26"/>
  <c r="AD22" i="25"/>
  <c r="L13" i="24" s="1"/>
  <c r="I66" i="26"/>
  <c r="M23" i="25"/>
  <c r="N23" i="25"/>
  <c r="T23" i="25"/>
  <c r="J66" i="26"/>
  <c r="U23" i="25"/>
  <c r="R23" i="25"/>
  <c r="G28" i="24"/>
  <c r="I32" i="23"/>
  <c r="J22" i="26"/>
  <c r="J38" i="26"/>
  <c r="F34" i="26"/>
  <c r="I38" i="26"/>
  <c r="F42" i="26"/>
  <c r="F41" i="26"/>
  <c r="H38" i="26"/>
  <c r="F40" i="26"/>
  <c r="I33" i="26"/>
  <c r="F33" i="26" s="1"/>
  <c r="AA18" i="25"/>
  <c r="AA17" i="25"/>
  <c r="AA16" i="25"/>
  <c r="AA15" i="25"/>
  <c r="AC22" i="25"/>
  <c r="K13" i="24" s="1"/>
  <c r="AA19" i="25"/>
  <c r="AB22" i="25"/>
  <c r="J13" i="24" s="1"/>
  <c r="S23" i="25"/>
  <c r="Q22" i="25"/>
  <c r="G38" i="26"/>
  <c r="F39" i="26"/>
  <c r="F112" i="20"/>
  <c r="F82" i="20"/>
  <c r="G37" i="20"/>
  <c r="G25" i="20" s="1"/>
  <c r="F35" i="20"/>
  <c r="F36" i="20"/>
  <c r="D136" i="20"/>
  <c r="E136" i="20"/>
  <c r="G136" i="20"/>
  <c r="H136" i="20"/>
  <c r="I136" i="20"/>
  <c r="J136" i="20"/>
  <c r="C136" i="20"/>
  <c r="D117" i="20"/>
  <c r="G117" i="20"/>
  <c r="H117" i="20"/>
  <c r="I117" i="20"/>
  <c r="J117" i="20"/>
  <c r="C117" i="20"/>
  <c r="D112" i="20"/>
  <c r="E112" i="20"/>
  <c r="G112" i="20"/>
  <c r="H112" i="20"/>
  <c r="I112" i="20"/>
  <c r="J112" i="20"/>
  <c r="C112" i="20"/>
  <c r="D101" i="20"/>
  <c r="E101" i="20"/>
  <c r="F101" i="20"/>
  <c r="G101" i="20"/>
  <c r="H101" i="20"/>
  <c r="I101" i="20"/>
  <c r="J101" i="20"/>
  <c r="C101" i="20"/>
  <c r="C95" i="20" s="1"/>
  <c r="C82" i="20"/>
  <c r="D82" i="20"/>
  <c r="E82" i="20"/>
  <c r="G82" i="20"/>
  <c r="H82" i="20"/>
  <c r="I82" i="20"/>
  <c r="J82" i="20"/>
  <c r="D75" i="20"/>
  <c r="E75" i="20"/>
  <c r="F75" i="20"/>
  <c r="H75" i="20"/>
  <c r="I75" i="20"/>
  <c r="J75" i="20"/>
  <c r="C75" i="20"/>
  <c r="D37" i="20"/>
  <c r="F37" i="20"/>
  <c r="H37" i="20"/>
  <c r="I37" i="20"/>
  <c r="J37" i="20"/>
  <c r="F66" i="26" l="1"/>
  <c r="F117" i="20"/>
  <c r="J12" i="24"/>
  <c r="F38" i="26"/>
  <c r="AA22" i="25"/>
  <c r="O15" i="20"/>
  <c r="O14" i="20"/>
  <c r="L15" i="20"/>
  <c r="L14" i="20"/>
  <c r="I15" i="20"/>
  <c r="I14" i="20"/>
  <c r="F15" i="20"/>
  <c r="F14" i="20"/>
  <c r="G10" i="25"/>
  <c r="L10" i="25"/>
  <c r="Q10" i="25"/>
  <c r="AB10" i="25"/>
  <c r="J8" i="24" s="1"/>
  <c r="AC10" i="25"/>
  <c r="K8" i="24" s="1"/>
  <c r="AD10" i="25"/>
  <c r="L8" i="24" s="1"/>
  <c r="AE10" i="25"/>
  <c r="M8" i="24" s="1"/>
  <c r="G11" i="25"/>
  <c r="L11" i="25"/>
  <c r="Q11" i="25"/>
  <c r="V11" i="25"/>
  <c r="AB11" i="25"/>
  <c r="J9" i="24" s="1"/>
  <c r="AC11" i="25"/>
  <c r="K9" i="24" s="1"/>
  <c r="AD11" i="25"/>
  <c r="L9" i="24" s="1"/>
  <c r="AE11" i="25"/>
  <c r="M9" i="24" s="1"/>
  <c r="G12" i="25"/>
  <c r="L12" i="25"/>
  <c r="Q12" i="25"/>
  <c r="V12" i="25"/>
  <c r="AB12" i="25"/>
  <c r="J10" i="24" s="1"/>
  <c r="AC12" i="25"/>
  <c r="K10" i="24" s="1"/>
  <c r="AD12" i="25"/>
  <c r="L10" i="24" s="1"/>
  <c r="AE12" i="25"/>
  <c r="M10" i="24" s="1"/>
  <c r="G13" i="25"/>
  <c r="L13" i="25"/>
  <c r="Q13" i="25"/>
  <c r="V13" i="25"/>
  <c r="AB13" i="25"/>
  <c r="J11" i="24" s="1"/>
  <c r="AC13" i="25"/>
  <c r="K11" i="24" s="1"/>
  <c r="AD13" i="25"/>
  <c r="L11" i="24" s="1"/>
  <c r="AE13" i="25"/>
  <c r="M11" i="24" s="1"/>
  <c r="G14" i="25"/>
  <c r="Q14" i="25"/>
  <c r="V14" i="25"/>
  <c r="AD14" i="25"/>
  <c r="I65" i="26" s="1"/>
  <c r="AE14" i="25"/>
  <c r="J65" i="26" s="1"/>
  <c r="G22" i="25"/>
  <c r="L22" i="25"/>
  <c r="V22" i="25"/>
  <c r="H23" i="25"/>
  <c r="I23" i="25"/>
  <c r="J23" i="25"/>
  <c r="K23" i="25"/>
  <c r="M33" i="25"/>
  <c r="E33" i="25"/>
  <c r="G33" i="25"/>
  <c r="I33" i="25"/>
  <c r="K33" i="25"/>
  <c r="O33" i="25"/>
  <c r="Q33" i="25"/>
  <c r="S33" i="25"/>
  <c r="D96" i="14"/>
  <c r="E96" i="14"/>
  <c r="F96" i="14"/>
  <c r="C96" i="14"/>
  <c r="D89" i="14"/>
  <c r="E89" i="14"/>
  <c r="F89" i="14"/>
  <c r="C89" i="14"/>
  <c r="L23" i="25" l="1"/>
  <c r="Q23" i="25"/>
  <c r="I64" i="26"/>
  <c r="AA14" i="25"/>
  <c r="L12" i="24"/>
  <c r="L7" i="24" s="1"/>
  <c r="G64" i="26"/>
  <c r="M12" i="24"/>
  <c r="M7" i="24" s="1"/>
  <c r="J64" i="26"/>
  <c r="H64" i="26"/>
  <c r="K12" i="24"/>
  <c r="K7" i="24" s="1"/>
  <c r="V23" i="25"/>
  <c r="AC23" i="25"/>
  <c r="AE23" i="25"/>
  <c r="AD23" i="25"/>
  <c r="AB23" i="25"/>
  <c r="AA12" i="25"/>
  <c r="AA11" i="25"/>
  <c r="AA10" i="25"/>
  <c r="G23" i="25"/>
  <c r="AA13" i="25"/>
  <c r="C66" i="14"/>
  <c r="D66" i="14"/>
  <c r="E66" i="14"/>
  <c r="K40" i="23"/>
  <c r="L40" i="23"/>
  <c r="M40" i="23"/>
  <c r="J40" i="23"/>
  <c r="G40" i="23"/>
  <c r="H40" i="23"/>
  <c r="F40" i="23"/>
  <c r="I43" i="23"/>
  <c r="F7" i="24"/>
  <c r="C55" i="14" s="1"/>
  <c r="G7" i="24"/>
  <c r="H7" i="24"/>
  <c r="E55" i="14" s="1"/>
  <c r="J7" i="24"/>
  <c r="I8" i="24"/>
  <c r="I9" i="24"/>
  <c r="I10" i="24"/>
  <c r="I11" i="24"/>
  <c r="I13" i="24"/>
  <c r="B28" i="24"/>
  <c r="B29" i="24"/>
  <c r="B30" i="24"/>
  <c r="L30" i="24"/>
  <c r="M30" i="24"/>
  <c r="K30" i="24" s="1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1" i="14" s="1"/>
  <c r="D37" i="24"/>
  <c r="E37" i="24"/>
  <c r="G37" i="24"/>
  <c r="I37" i="24"/>
  <c r="J37" i="24"/>
  <c r="F8" i="26"/>
  <c r="F9" i="26"/>
  <c r="F10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/>
  <c r="F16" i="26"/>
  <c r="F17" i="26"/>
  <c r="F18" i="26"/>
  <c r="F19" i="26"/>
  <c r="F21" i="26"/>
  <c r="F22" i="26"/>
  <c r="F23" i="26"/>
  <c r="C24" i="26"/>
  <c r="D24" i="26"/>
  <c r="D20" i="26" s="1"/>
  <c r="E24" i="26"/>
  <c r="G24" i="26"/>
  <c r="H24" i="26"/>
  <c r="I24" i="26"/>
  <c r="J24" i="26"/>
  <c r="F25" i="26"/>
  <c r="F26" i="26"/>
  <c r="F27" i="26"/>
  <c r="F29" i="26"/>
  <c r="F30" i="26"/>
  <c r="F31" i="26"/>
  <c r="F32" i="26"/>
  <c r="C35" i="26"/>
  <c r="C28" i="26" s="1"/>
  <c r="C20" i="26" s="1"/>
  <c r="E35" i="26"/>
  <c r="E28" i="26" s="1"/>
  <c r="G35" i="26"/>
  <c r="G28" i="26" s="1"/>
  <c r="H35" i="26"/>
  <c r="H28" i="26" s="1"/>
  <c r="H20" i="26" s="1"/>
  <c r="I35" i="26"/>
  <c r="I28" i="26" s="1"/>
  <c r="J35" i="26"/>
  <c r="J28" i="26"/>
  <c r="F37" i="26"/>
  <c r="F43" i="26"/>
  <c r="F44" i="26"/>
  <c r="C47" i="26"/>
  <c r="D47" i="26"/>
  <c r="E47" i="26"/>
  <c r="G47" i="26"/>
  <c r="H47" i="26"/>
  <c r="I47" i="26"/>
  <c r="J47" i="26"/>
  <c r="F48" i="26"/>
  <c r="F49" i="26"/>
  <c r="F50" i="26"/>
  <c r="F51" i="26"/>
  <c r="F52" i="26"/>
  <c r="F53" i="26"/>
  <c r="F54" i="26"/>
  <c r="F56" i="26"/>
  <c r="F57" i="26"/>
  <c r="C58" i="26"/>
  <c r="C55" i="26" s="1"/>
  <c r="C67" i="26" s="1"/>
  <c r="D58" i="26"/>
  <c r="D55" i="26" s="1"/>
  <c r="D67" i="26" s="1"/>
  <c r="E58" i="26"/>
  <c r="E55" i="26" s="1"/>
  <c r="E67" i="26" s="1"/>
  <c r="G58" i="26"/>
  <c r="H58" i="26"/>
  <c r="I58" i="26"/>
  <c r="J58" i="26"/>
  <c r="F59" i="26"/>
  <c r="F60" i="26"/>
  <c r="F61" i="26"/>
  <c r="F62" i="26"/>
  <c r="F63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 s="1"/>
  <c r="J71" i="26"/>
  <c r="J69" i="26"/>
  <c r="F72" i="26"/>
  <c r="F73" i="26"/>
  <c r="F74" i="26"/>
  <c r="F75" i="26"/>
  <c r="F77" i="26"/>
  <c r="C78" i="26"/>
  <c r="C76" i="26" s="1"/>
  <c r="D78" i="26"/>
  <c r="D76" i="26"/>
  <c r="E78" i="26"/>
  <c r="E76" i="26" s="1"/>
  <c r="G78" i="26"/>
  <c r="G76" i="26" s="1"/>
  <c r="H78" i="26"/>
  <c r="H76" i="26" s="1"/>
  <c r="I78" i="26"/>
  <c r="I76" i="26" s="1"/>
  <c r="J78" i="26"/>
  <c r="J76" i="26" s="1"/>
  <c r="F79" i="26"/>
  <c r="F29" i="24" s="1"/>
  <c r="L29" i="24" s="1"/>
  <c r="F80" i="26"/>
  <c r="F81" i="26"/>
  <c r="F82" i="26"/>
  <c r="F83" i="26"/>
  <c r="H29" i="24" s="1"/>
  <c r="F84" i="26"/>
  <c r="F85" i="26"/>
  <c r="F89" i="26"/>
  <c r="I10" i="23"/>
  <c r="F11" i="23"/>
  <c r="G11" i="23"/>
  <c r="H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G25" i="23"/>
  <c r="H25" i="23"/>
  <c r="J25" i="23"/>
  <c r="K25" i="23"/>
  <c r="L25" i="23"/>
  <c r="M25" i="23"/>
  <c r="I26" i="23"/>
  <c r="F48" i="14" s="1"/>
  <c r="I27" i="23"/>
  <c r="F49" i="14" s="1"/>
  <c r="I28" i="23"/>
  <c r="F50" i="14" s="1"/>
  <c r="I29" i="23"/>
  <c r="I41" i="23"/>
  <c r="F51" i="14" s="1"/>
  <c r="I30" i="23"/>
  <c r="I31" i="23"/>
  <c r="I33" i="23"/>
  <c r="I34" i="23"/>
  <c r="F35" i="23"/>
  <c r="G35" i="23"/>
  <c r="H35" i="23"/>
  <c r="J35" i="23"/>
  <c r="K35" i="23"/>
  <c r="L35" i="23"/>
  <c r="M35" i="23"/>
  <c r="I36" i="23"/>
  <c r="I37" i="23"/>
  <c r="I38" i="23"/>
  <c r="I39" i="23"/>
  <c r="I42" i="23"/>
  <c r="F52" i="14" s="1"/>
  <c r="I44" i="23"/>
  <c r="I45" i="23"/>
  <c r="F46" i="23"/>
  <c r="G46" i="23"/>
  <c r="H46" i="23"/>
  <c r="I46" i="23"/>
  <c r="I47" i="23"/>
  <c r="I48" i="23"/>
  <c r="D17" i="20"/>
  <c r="G17" i="20"/>
  <c r="J17" i="20"/>
  <c r="M17" i="20"/>
  <c r="F24" i="20"/>
  <c r="F42" i="14" s="1"/>
  <c r="C25" i="20"/>
  <c r="D25" i="20"/>
  <c r="D43" i="14" s="1"/>
  <c r="D76" i="14" s="1"/>
  <c r="E25" i="20"/>
  <c r="G44" i="20"/>
  <c r="H25" i="20"/>
  <c r="H44" i="20" s="1"/>
  <c r="I25" i="20"/>
  <c r="I44" i="20" s="1"/>
  <c r="J25" i="20"/>
  <c r="J44" i="20" s="1"/>
  <c r="F26" i="20"/>
  <c r="F27" i="20"/>
  <c r="F29" i="20"/>
  <c r="F31" i="20"/>
  <c r="F33" i="20"/>
  <c r="F34" i="20"/>
  <c r="C45" i="20"/>
  <c r="D45" i="20"/>
  <c r="E45" i="20"/>
  <c r="G45" i="20"/>
  <c r="H45" i="20"/>
  <c r="I45" i="20"/>
  <c r="J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C68" i="20"/>
  <c r="D68" i="20"/>
  <c r="E68" i="20"/>
  <c r="H68" i="20"/>
  <c r="I68" i="20"/>
  <c r="J68" i="20"/>
  <c r="F69" i="20"/>
  <c r="F70" i="20"/>
  <c r="F71" i="20"/>
  <c r="F72" i="20"/>
  <c r="F73" i="20"/>
  <c r="F74" i="20"/>
  <c r="C79" i="20"/>
  <c r="D79" i="20"/>
  <c r="E79" i="20"/>
  <c r="G79" i="20"/>
  <c r="H79" i="20"/>
  <c r="I79" i="20"/>
  <c r="J79" i="20"/>
  <c r="F80" i="20"/>
  <c r="D95" i="20"/>
  <c r="E95" i="20"/>
  <c r="G95" i="20"/>
  <c r="H95" i="20"/>
  <c r="I95" i="20"/>
  <c r="J95" i="20"/>
  <c r="F96" i="20"/>
  <c r="F97" i="20"/>
  <c r="F98" i="20"/>
  <c r="F99" i="20"/>
  <c r="F109" i="20"/>
  <c r="F110" i="20"/>
  <c r="F111" i="20"/>
  <c r="C115" i="20"/>
  <c r="D115" i="20"/>
  <c r="E115" i="20"/>
  <c r="G115" i="20"/>
  <c r="H115" i="20"/>
  <c r="I115" i="20"/>
  <c r="J115" i="20"/>
  <c r="C120" i="20"/>
  <c r="D120" i="20"/>
  <c r="E120" i="20"/>
  <c r="G120" i="20"/>
  <c r="H120" i="20"/>
  <c r="I120" i="20"/>
  <c r="J120" i="20"/>
  <c r="F121" i="20"/>
  <c r="F122" i="20"/>
  <c r="F124" i="20"/>
  <c r="F125" i="20"/>
  <c r="F126" i="20"/>
  <c r="F127" i="20"/>
  <c r="F133" i="20"/>
  <c r="F137" i="20"/>
  <c r="F138" i="20"/>
  <c r="F139" i="20"/>
  <c r="F118" i="14" s="1"/>
  <c r="G118" i="14" s="1"/>
  <c r="F140" i="20"/>
  <c r="F141" i="20"/>
  <c r="F142" i="20"/>
  <c r="C143" i="20"/>
  <c r="D143" i="20"/>
  <c r="E143" i="20"/>
  <c r="G143" i="20"/>
  <c r="H143" i="20"/>
  <c r="I143" i="20"/>
  <c r="J143" i="20"/>
  <c r="D42" i="14"/>
  <c r="E42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D55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C80" i="14"/>
  <c r="D80" i="14"/>
  <c r="E80" i="14"/>
  <c r="F80" i="14"/>
  <c r="C102" i="14"/>
  <c r="D102" i="14"/>
  <c r="E102" i="14"/>
  <c r="F103" i="14"/>
  <c r="F104" i="14"/>
  <c r="F105" i="14"/>
  <c r="C106" i="14"/>
  <c r="D106" i="14"/>
  <c r="E106" i="14"/>
  <c r="C112" i="14"/>
  <c r="D112" i="14"/>
  <c r="E112" i="14"/>
  <c r="F112" i="14"/>
  <c r="G112" i="14" s="1"/>
  <c r="H112" i="14" s="1"/>
  <c r="I112" i="14" s="1"/>
  <c r="J112" i="14" s="1"/>
  <c r="C118" i="14"/>
  <c r="D118" i="14"/>
  <c r="E118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D44" i="20"/>
  <c r="G86" i="26" l="1"/>
  <c r="D60" i="14"/>
  <c r="D75" i="14"/>
  <c r="D64" i="14"/>
  <c r="F64" i="14"/>
  <c r="G42" i="14"/>
  <c r="E44" i="20"/>
  <c r="E60" i="14"/>
  <c r="E75" i="14"/>
  <c r="E64" i="14"/>
  <c r="AA23" i="25"/>
  <c r="L24" i="25" s="1"/>
  <c r="H55" i="26"/>
  <c r="H67" i="26" s="1"/>
  <c r="I55" i="26"/>
  <c r="I67" i="26" s="1"/>
  <c r="H28" i="24"/>
  <c r="M29" i="24"/>
  <c r="F11" i="26"/>
  <c r="F78" i="26"/>
  <c r="F47" i="26"/>
  <c r="C44" i="20"/>
  <c r="C75" i="14"/>
  <c r="D86" i="26"/>
  <c r="D124" i="14"/>
  <c r="J55" i="26"/>
  <c r="J67" i="26" s="1"/>
  <c r="D45" i="26"/>
  <c r="D87" i="26" s="1"/>
  <c r="D90" i="26" s="1"/>
  <c r="G49" i="23"/>
  <c r="D53" i="14" s="1"/>
  <c r="C43" i="14"/>
  <c r="C76" i="14" s="1"/>
  <c r="K33" i="24"/>
  <c r="B37" i="24"/>
  <c r="K35" i="24"/>
  <c r="K31" i="24"/>
  <c r="F49" i="23"/>
  <c r="C53" i="14" s="1"/>
  <c r="K49" i="23"/>
  <c r="I12" i="24"/>
  <c r="F65" i="26"/>
  <c r="F64" i="26" s="1"/>
  <c r="G55" i="26"/>
  <c r="I86" i="26"/>
  <c r="F28" i="24"/>
  <c r="F107" i="14" s="1"/>
  <c r="G124" i="14"/>
  <c r="H118" i="14"/>
  <c r="F75" i="14"/>
  <c r="L49" i="23"/>
  <c r="M49" i="23"/>
  <c r="F7" i="26"/>
  <c r="I40" i="23"/>
  <c r="J86" i="26"/>
  <c r="F102" i="14"/>
  <c r="F69" i="26"/>
  <c r="F58" i="26"/>
  <c r="G20" i="26"/>
  <c r="G45" i="26" s="1"/>
  <c r="H45" i="26"/>
  <c r="E20" i="26"/>
  <c r="E45" i="26" s="1"/>
  <c r="F35" i="26"/>
  <c r="C45" i="26"/>
  <c r="I35" i="23"/>
  <c r="I25" i="23"/>
  <c r="H49" i="23"/>
  <c r="E53" i="14" s="1"/>
  <c r="I12" i="23"/>
  <c r="F136" i="20"/>
  <c r="F25" i="20"/>
  <c r="F43" i="14" s="1"/>
  <c r="G43" i="14" s="1"/>
  <c r="H43" i="14" s="1"/>
  <c r="I43" i="14" s="1"/>
  <c r="J43" i="14" s="1"/>
  <c r="G132" i="20"/>
  <c r="E43" i="14"/>
  <c r="E76" i="14" s="1"/>
  <c r="D108" i="20"/>
  <c r="D59" i="14" s="1"/>
  <c r="H131" i="20"/>
  <c r="C131" i="20"/>
  <c r="G131" i="20"/>
  <c r="D131" i="20"/>
  <c r="I132" i="20"/>
  <c r="F115" i="20"/>
  <c r="J132" i="20"/>
  <c r="E131" i="20"/>
  <c r="H132" i="20"/>
  <c r="I108" i="20"/>
  <c r="I134" i="20" s="1"/>
  <c r="F95" i="20"/>
  <c r="I131" i="20"/>
  <c r="C132" i="20"/>
  <c r="D132" i="20"/>
  <c r="E108" i="20"/>
  <c r="E134" i="20" s="1"/>
  <c r="E45" i="14" s="1"/>
  <c r="E61" i="14" s="1"/>
  <c r="J108" i="20"/>
  <c r="J134" i="20" s="1"/>
  <c r="J131" i="20"/>
  <c r="E132" i="20"/>
  <c r="C108" i="20"/>
  <c r="C123" i="20" s="1"/>
  <c r="C128" i="20" s="1"/>
  <c r="F124" i="14"/>
  <c r="C16" i="20"/>
  <c r="C15" i="20"/>
  <c r="B16" i="20"/>
  <c r="B14" i="20"/>
  <c r="B15" i="20"/>
  <c r="C124" i="14"/>
  <c r="D44" i="14"/>
  <c r="E124" i="14"/>
  <c r="F143" i="20"/>
  <c r="F120" i="20"/>
  <c r="F79" i="20"/>
  <c r="H108" i="20"/>
  <c r="F68" i="20"/>
  <c r="F45" i="20"/>
  <c r="G108" i="20"/>
  <c r="J49" i="23"/>
  <c r="F76" i="26"/>
  <c r="H86" i="26"/>
  <c r="F71" i="26"/>
  <c r="C86" i="26"/>
  <c r="F28" i="26"/>
  <c r="J20" i="26"/>
  <c r="J45" i="26" s="1"/>
  <c r="I20" i="26"/>
  <c r="F24" i="26"/>
  <c r="F15" i="26"/>
  <c r="I7" i="24"/>
  <c r="F55" i="14" s="1"/>
  <c r="G55" i="14" s="1"/>
  <c r="H55" i="14" s="1"/>
  <c r="I55" i="14" s="1"/>
  <c r="J55" i="14" s="1"/>
  <c r="F86" i="26" l="1"/>
  <c r="F131" i="20"/>
  <c r="F60" i="14"/>
  <c r="G64" i="14"/>
  <c r="H42" i="14"/>
  <c r="K29" i="24"/>
  <c r="F55" i="26"/>
  <c r="M28" i="24"/>
  <c r="M37" i="24" s="1"/>
  <c r="H37" i="24"/>
  <c r="E87" i="26"/>
  <c r="E90" i="26" s="1"/>
  <c r="G88" i="26" s="1"/>
  <c r="E44" i="14"/>
  <c r="C44" i="14"/>
  <c r="J87" i="26"/>
  <c r="I49" i="23"/>
  <c r="F53" i="14" s="1"/>
  <c r="G67" i="26"/>
  <c r="G87" i="26" s="1"/>
  <c r="G24" i="25"/>
  <c r="L28" i="24"/>
  <c r="F37" i="24"/>
  <c r="F106" i="14"/>
  <c r="F76" i="14"/>
  <c r="I118" i="14"/>
  <c r="H124" i="14"/>
  <c r="V24" i="25"/>
  <c r="Q24" i="25"/>
  <c r="C87" i="26"/>
  <c r="C90" i="26" s="1"/>
  <c r="J123" i="20"/>
  <c r="J128" i="20" s="1"/>
  <c r="M8" i="23" s="1"/>
  <c r="D123" i="20"/>
  <c r="D128" i="20" s="1"/>
  <c r="D129" i="20" s="1"/>
  <c r="D134" i="20"/>
  <c r="E59" i="14"/>
  <c r="F44" i="14"/>
  <c r="F44" i="20"/>
  <c r="F108" i="20" s="1"/>
  <c r="F134" i="20" s="1"/>
  <c r="I123" i="20"/>
  <c r="I128" i="20" s="1"/>
  <c r="L8" i="23" s="1"/>
  <c r="E123" i="20"/>
  <c r="E128" i="20" s="1"/>
  <c r="H8" i="23" s="1"/>
  <c r="H23" i="23" s="1"/>
  <c r="I9" i="23" s="1"/>
  <c r="J9" i="23" s="1"/>
  <c r="C134" i="20"/>
  <c r="C45" i="14" s="1"/>
  <c r="C61" i="14" s="1"/>
  <c r="C59" i="14"/>
  <c r="E67" i="14"/>
  <c r="F8" i="23"/>
  <c r="F23" i="23" s="1"/>
  <c r="C46" i="14"/>
  <c r="C130" i="20"/>
  <c r="C129" i="20"/>
  <c r="I45" i="26"/>
  <c r="F20" i="26"/>
  <c r="H87" i="26"/>
  <c r="G123" i="20"/>
  <c r="G128" i="20" s="1"/>
  <c r="G134" i="20"/>
  <c r="F132" i="20"/>
  <c r="H123" i="20"/>
  <c r="H128" i="20" s="1"/>
  <c r="H134" i="20"/>
  <c r="G90" i="26" l="1"/>
  <c r="G53" i="14"/>
  <c r="H53" i="14" s="1"/>
  <c r="I53" i="14" s="1"/>
  <c r="J53" i="14" s="1"/>
  <c r="I42" i="14"/>
  <c r="J42" i="14" s="1"/>
  <c r="H64" i="14"/>
  <c r="E88" i="14"/>
  <c r="E74" i="14" s="1"/>
  <c r="F88" i="26"/>
  <c r="J11" i="23"/>
  <c r="I11" i="23"/>
  <c r="D67" i="14"/>
  <c r="F67" i="26"/>
  <c r="G44" i="14"/>
  <c r="AA24" i="25"/>
  <c r="K28" i="24"/>
  <c r="K37" i="24" s="1"/>
  <c r="L37" i="24"/>
  <c r="F110" i="14" s="1"/>
  <c r="J118" i="14"/>
  <c r="J124" i="14" s="1"/>
  <c r="I124" i="14"/>
  <c r="H44" i="14"/>
  <c r="J129" i="20"/>
  <c r="J130" i="20"/>
  <c r="G8" i="23"/>
  <c r="G23" i="23" s="1"/>
  <c r="D46" i="14"/>
  <c r="D62" i="14" s="1"/>
  <c r="D130" i="20"/>
  <c r="E46" i="14"/>
  <c r="E58" i="14" s="1"/>
  <c r="E130" i="20"/>
  <c r="I130" i="20"/>
  <c r="E129" i="20"/>
  <c r="I129" i="20"/>
  <c r="C67" i="14"/>
  <c r="C62" i="14"/>
  <c r="C63" i="14"/>
  <c r="C58" i="14"/>
  <c r="K8" i="23"/>
  <c r="H129" i="20"/>
  <c r="H130" i="20"/>
  <c r="F59" i="14"/>
  <c r="F45" i="14"/>
  <c r="F67" i="14" s="1"/>
  <c r="F123" i="20"/>
  <c r="F128" i="20" s="1"/>
  <c r="J8" i="23"/>
  <c r="G130" i="20"/>
  <c r="G129" i="20"/>
  <c r="I87" i="26"/>
  <c r="F45" i="26"/>
  <c r="F87" i="26" l="1"/>
  <c r="F90" i="26" s="1"/>
  <c r="F88" i="14" s="1"/>
  <c r="F68" i="14" s="1"/>
  <c r="J23" i="23"/>
  <c r="K9" i="23" s="1"/>
  <c r="K11" i="23" s="1"/>
  <c r="K23" i="23" s="1"/>
  <c r="L9" i="23" s="1"/>
  <c r="L11" i="23" s="1"/>
  <c r="L23" i="23" s="1"/>
  <c r="M9" i="23" s="1"/>
  <c r="M11" i="23" s="1"/>
  <c r="M23" i="23" s="1"/>
  <c r="E68" i="14"/>
  <c r="H88" i="26"/>
  <c r="H90" i="26" s="1"/>
  <c r="I88" i="26" s="1"/>
  <c r="I90" i="26" s="1"/>
  <c r="J88" i="26" s="1"/>
  <c r="J90" i="26" s="1"/>
  <c r="D68" i="14"/>
  <c r="D61" i="14"/>
  <c r="J44" i="14"/>
  <c r="I44" i="14"/>
  <c r="E63" i="14"/>
  <c r="E62" i="14"/>
  <c r="D63" i="14"/>
  <c r="D58" i="14"/>
  <c r="I8" i="23"/>
  <c r="I23" i="23" s="1"/>
  <c r="F129" i="20"/>
  <c r="F130" i="20"/>
  <c r="F46" i="14"/>
  <c r="G46" i="14" s="1"/>
  <c r="H46" i="14" s="1"/>
  <c r="I46" i="14" s="1"/>
  <c r="J46" i="14" s="1"/>
  <c r="F61" i="14"/>
  <c r="F74" i="14" l="1"/>
  <c r="G58" i="14"/>
  <c r="F62" i="14"/>
  <c r="F63" i="14"/>
  <c r="F58" i="14"/>
  <c r="H58" i="14" l="1"/>
  <c r="J58" i="14" l="1"/>
  <c r="I5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MMaglich</author>
  </authors>
  <commentList>
    <comment ref="C29" authorId="0" shapeId="0" xr:uid="{F934BC48-E9E2-4337-980C-218B18FC3D49}">
      <text>
        <r>
          <rPr>
            <b/>
            <sz val="9"/>
            <color indexed="81"/>
            <rFont val="Tahoma"/>
            <family val="2"/>
            <charset val="204"/>
          </rPr>
          <t>MMaglich:</t>
        </r>
        <r>
          <rPr>
            <sz val="9"/>
            <color indexed="81"/>
            <rFont val="Tahoma"/>
            <family val="2"/>
            <charset val="204"/>
          </rPr>
          <t xml:space="preserve">
знімаємо оплату за ІV кв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MMaglich</author>
  </authors>
  <commentList>
    <comment ref="B17" authorId="0" shapeId="0" xr:uid="{19C291A1-2CA6-4B69-A806-0CC1F6E0AFE8}">
      <text>
        <r>
          <rPr>
            <b/>
            <sz val="9"/>
            <color indexed="81"/>
            <rFont val="Tahoma"/>
            <family val="2"/>
            <charset val="204"/>
          </rPr>
          <t>MMaglich:</t>
        </r>
        <r>
          <rPr>
            <sz val="9"/>
            <color indexed="81"/>
            <rFont val="Tahoma"/>
            <family val="2"/>
            <charset val="204"/>
          </rPr>
          <t xml:space="preserve">
роботи</t>
        </r>
      </text>
    </comment>
    <comment ref="B18" authorId="0" shapeId="0" xr:uid="{93BCED6E-D599-4520-9C3B-947A24F34D7B}">
      <text>
        <r>
          <rPr>
            <b/>
            <sz val="9"/>
            <color indexed="81"/>
            <rFont val="Tahoma"/>
            <family val="2"/>
            <charset val="204"/>
          </rPr>
          <t>MMaglich:</t>
        </r>
        <r>
          <rPr>
            <sz val="9"/>
            <color indexed="81"/>
            <rFont val="Tahoma"/>
            <family val="2"/>
            <charset val="204"/>
          </rPr>
          <t xml:space="preserve">
роботи</t>
        </r>
      </text>
    </comment>
    <comment ref="B20" authorId="0" shapeId="0" xr:uid="{AEA48839-E3C0-42C9-9B20-B853BE5E961F}">
      <text>
        <r>
          <rPr>
            <b/>
            <sz val="9"/>
            <color indexed="81"/>
            <rFont val="Tahoma"/>
            <family val="2"/>
            <charset val="204"/>
          </rPr>
          <t>MMaglich:</t>
        </r>
        <r>
          <rPr>
            <sz val="9"/>
            <color indexed="81"/>
            <rFont val="Tahoma"/>
            <family val="2"/>
            <charset val="204"/>
          </rPr>
          <t xml:space="preserve">
роботи</t>
        </r>
      </text>
    </comment>
    <comment ref="B21" authorId="0" shapeId="0" xr:uid="{4454CAD0-1D1F-481D-935C-239494B7C413}">
      <text>
        <r>
          <rPr>
            <b/>
            <sz val="9"/>
            <color indexed="81"/>
            <rFont val="Tahoma"/>
            <family val="2"/>
            <charset val="204"/>
          </rPr>
          <t>MMaglich:</t>
        </r>
        <r>
          <rPr>
            <sz val="9"/>
            <color indexed="81"/>
            <rFont val="Tahoma"/>
            <family val="2"/>
            <charset val="204"/>
          </rPr>
          <t xml:space="preserve">
роботи</t>
        </r>
      </text>
    </comment>
  </commentList>
</comments>
</file>

<file path=xl/sharedStrings.xml><?xml version="1.0" encoding="utf-8"?>
<sst xmlns="http://schemas.openxmlformats.org/spreadsheetml/2006/main" count="959" uniqueCount="540">
  <si>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</si>
  <si>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</si>
  <si>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</si>
  <si>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</si>
  <si>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</si>
  <si>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</si>
  <si>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</si>
  <si>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 xml:space="preserve">Суб'єкт управління 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</si>
  <si>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</si>
  <si>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</si>
  <si>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</si>
  <si>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</si>
  <si>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</si>
  <si>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</si>
  <si>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</si>
  <si>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</si>
  <si>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</si>
  <si>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</si>
  <si>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</si>
  <si>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</si>
  <si>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</si>
  <si>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</si>
  <si>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</si>
  <si>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</si>
  <si>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</si>
  <si>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</si>
  <si>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</si>
  <si>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</si>
  <si>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</si>
  <si>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</si>
  <si>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</si>
  <si>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</si>
  <si>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</si>
  <si>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</si>
  <si>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</si>
  <si>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</si>
  <si>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</si>
  <si>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</si>
  <si>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</si>
  <si>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</si>
  <si>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</si>
  <si>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</si>
  <si>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</si>
  <si>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</si>
  <si>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</si>
  <si>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</si>
  <si>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</si>
  <si>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</si>
  <si>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</si>
  <si>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</si>
  <si>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</si>
  <si>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</si>
  <si>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</si>
  <si>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</si>
  <si>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</si>
  <si>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</si>
  <si>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</si>
  <si>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</si>
  <si>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</si>
  <si>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</si>
  <si>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</si>
  <si>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</si>
  <si>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</si>
  <si>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</si>
  <si>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</si>
  <si>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</si>
  <si>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</si>
  <si>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</si>
  <si>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</si>
  <si>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</si>
  <si>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</si>
  <si>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</si>
  <si>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</si>
  <si>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</si>
  <si>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</si>
  <si>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</si>
  <si>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</si>
  <si>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</si>
  <si>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</si>
  <si>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</si>
  <si>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</si>
  <si>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</si>
  <si>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</si>
  <si>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</si>
  <si>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</si>
  <si>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</si>
  <si>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</si>
  <si>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</si>
  <si>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</si>
  <si>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</si>
  <si>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</si>
  <si>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</si>
  <si>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</si>
  <si>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</si>
  <si>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</si>
  <si>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</si>
  <si>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</si>
  <si>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</si>
  <si>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</si>
  <si>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</si>
  <si>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</si>
  <si>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</si>
  <si>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</si>
  <si>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</si>
  <si>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</si>
  <si>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</si>
  <si>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</si>
  <si>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</si>
  <si>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</si>
  <si>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</si>
  <si>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</si>
  <si>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</si>
  <si>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</si>
  <si>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</si>
  <si>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</si>
  <si>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</si>
  <si>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</si>
  <si>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</si>
  <si>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</si>
  <si>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</si>
  <si>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</si>
  <si>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</si>
  <si>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</si>
  <si>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</si>
  <si>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</si>
  <si>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</si>
  <si>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</si>
  <si>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</si>
  <si>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</si>
  <si>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</si>
  <si>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</si>
  <si>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</si>
  <si>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</si>
  <si>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</si>
  <si>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</si>
  <si>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</si>
  <si>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</si>
  <si>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</si>
  <si>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</si>
  <si>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</si>
  <si>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</si>
  <si>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</si>
  <si>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</si>
  <si>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</si>
  <si>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</si>
  <si>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</si>
  <si>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</si>
  <si>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</si>
  <si>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</si>
  <si>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</si>
  <si>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</si>
  <si>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</si>
  <si>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</si>
  <si>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</si>
  <si>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</si>
  <si>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</si>
  <si>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</si>
  <si>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</si>
  <si>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</si>
  <si>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</si>
  <si>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</si>
  <si>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</si>
  <si>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</si>
  <si>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</si>
  <si>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</si>
  <si>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</si>
  <si>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</si>
  <si>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</si>
  <si>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</si>
  <si>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</si>
  <si>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</si>
  <si>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</si>
  <si>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</si>
  <si>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</si>
  <si>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</si>
  <si>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</si>
  <si>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</si>
  <si>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</si>
  <si>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</si>
  <si>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</si>
  <si>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</si>
  <si>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</si>
  <si>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</si>
  <si>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</si>
  <si>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</si>
  <si>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</si>
  <si>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</si>
  <si>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</si>
  <si>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</si>
  <si>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</si>
  <si>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</si>
  <si>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</si>
  <si>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</si>
  <si>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</si>
  <si>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</si>
  <si>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</si>
  <si>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</si>
  <si>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</si>
  <si>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</si>
  <si>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</si>
  <si>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</si>
  <si>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</si>
  <si>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</si>
  <si>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</si>
  <si>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</si>
  <si>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</si>
  <si>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</si>
  <si>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</si>
  <si>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</si>
  <si>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</si>
  <si>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</si>
  <si>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</si>
  <si>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</si>
  <si>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</si>
  <si>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</si>
  <si>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</si>
  <si>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</si>
  <si>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</si>
  <si>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</si>
  <si>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</si>
  <si>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</si>
  <si>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</si>
  <si>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</si>
  <si>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</si>
  <si>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</si>
  <si>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</si>
  <si>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</si>
  <si>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</si>
  <si>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</si>
  <si>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</si>
  <si>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</si>
  <si>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</si>
  <si>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</si>
  <si>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</si>
  <si>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</si>
  <si>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</si>
  <si>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</si>
  <si>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</si>
  <si>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</si>
  <si>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</si>
  <si>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</si>
  <si>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</si>
  <si>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</si>
  <si>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</si>
  <si>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</si>
  <si>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</si>
  <si>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</si>
  <si>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</si>
  <si>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</si>
  <si>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</si>
  <si>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</si>
  <si>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</si>
  <si>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</si>
  <si>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</si>
  <si>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</si>
  <si>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</si>
  <si>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</si>
  <si>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</si>
  <si>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</si>
  <si>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</si>
  <si>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</si>
  <si>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</si>
  <si>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</si>
  <si>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</si>
  <si>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</si>
  <si>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</si>
  <si>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</si>
  <si>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</si>
  <si>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</si>
  <si>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</si>
  <si>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</si>
  <si>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</si>
  <si>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</si>
  <si>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</si>
  <si>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</si>
  <si>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</si>
  <si>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</si>
  <si>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</si>
  <si>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</si>
  <si>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</si>
  <si>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</si>
  <si>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</si>
  <si>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</si>
  <si>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</si>
  <si>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</si>
  <si>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</si>
  <si>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</si>
  <si>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</si>
  <si>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</si>
  <si>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</si>
  <si>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</si>
  <si>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</si>
  <si>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</si>
  <si>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</si>
  <si>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</si>
  <si>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</si>
  <si>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</si>
  <si>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</si>
  <si>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</si>
  <si>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</si>
  <si>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</si>
  <si>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</si>
  <si>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</si>
  <si>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</si>
  <si>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</si>
  <si>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</si>
  <si>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</si>
  <si>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</si>
  <si>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</si>
  <si>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</si>
  <si>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</si>
  <si>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</si>
  <si>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</si>
  <si>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</si>
  <si>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</si>
  <si>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</si>
  <si>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</si>
  <si>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</si>
  <si>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</si>
  <si>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</si>
  <si>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</si>
  <si>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</si>
  <si>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</si>
  <si>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</si>
  <si>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</si>
  <si>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</si>
  <si>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</si>
  <si>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</si>
  <si>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</si>
  <si>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</si>
  <si>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</si>
  <si>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</si>
  <si>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</si>
  <si>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</si>
  <si>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</si>
  <si>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</si>
  <si>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</si>
  <si>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</si>
  <si>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</si>
  <si>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</si>
  <si>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</si>
  <si>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</si>
  <si>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</si>
  <si>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</si>
  <si>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</si>
  <si>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</si>
  <si>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</si>
  <si>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</si>
  <si>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</si>
  <si>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</si>
  <si>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</si>
  <si>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</si>
  <si>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</si>
  <si>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</si>
  <si>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</si>
  <si>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</si>
  <si>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</si>
  <si>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</si>
  <si>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</si>
  <si>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</si>
  <si>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</si>
  <si>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</si>
  <si>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</si>
  <si>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</si>
  <si>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</si>
  <si>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</si>
  <si>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</si>
  <si>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</si>
  <si>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</si>
  <si>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</si>
  <si>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</si>
  <si>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</si>
  <si>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</si>
  <si>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</si>
  <si>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</si>
  <si>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</si>
  <si>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</si>
  <si>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</si>
  <si>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</si>
  <si>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</si>
  <si>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</si>
  <si>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</si>
  <si>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підприємство "Чернігівводоканал" Чернігівської міської ради</t>
  </si>
  <si>
    <t>основний ФП
(дата затвердження)</t>
  </si>
  <si>
    <t>комунальне підприємство</t>
  </si>
  <si>
    <t>Чернігівська міська рада</t>
  </si>
  <si>
    <t>за СПОДУ</t>
  </si>
  <si>
    <t>07087  01009</t>
  </si>
  <si>
    <t>забір, очищення та постачання води</t>
  </si>
  <si>
    <t>36.00</t>
  </si>
  <si>
    <t>житлово-комунальне господарство</t>
  </si>
  <si>
    <t>14017, м. Чернігів, вул. Жабинського, 15</t>
  </si>
  <si>
    <t>(0462) 941-301</t>
  </si>
  <si>
    <t>Малявко Сергій Михайлович</t>
  </si>
  <si>
    <t>03358222</t>
  </si>
  <si>
    <t>плановий рік 2029 рік</t>
  </si>
  <si>
    <t>плановий рік 2028 рік</t>
  </si>
  <si>
    <t>плановий рік 2027 рік</t>
  </si>
  <si>
    <t>Сергій МАЛЯВКО</t>
  </si>
  <si>
    <t>водопостачання</t>
  </si>
  <si>
    <t>водовідведення</t>
  </si>
  <si>
    <t>інші</t>
  </si>
  <si>
    <t>1018/1</t>
  </si>
  <si>
    <t>1018/2</t>
  </si>
  <si>
    <t>Рентна плата за користування надрами</t>
  </si>
  <si>
    <t>Рентна плата за спеціальне використання води</t>
  </si>
  <si>
    <t>вивезення мулу</t>
  </si>
  <si>
    <t>підкачування холодної води</t>
  </si>
  <si>
    <t>податок на землю</t>
  </si>
  <si>
    <t>екологічний податок</t>
  </si>
  <si>
    <t>плата за радіочастоти</t>
  </si>
  <si>
    <t xml:space="preserve">охорона, оренда, обов׳язкове страхування, ордери на розкопки, зв׳язок, спецодяг, відрядження, дезінфекція, опалення, спецхарчування, медаптечки, ін. послуги сторонніх організацій, інше </t>
  </si>
  <si>
    <t>1019/1</t>
  </si>
  <si>
    <t>1019/2</t>
  </si>
  <si>
    <t>1019/3</t>
  </si>
  <si>
    <t>1019/4</t>
  </si>
  <si>
    <t>1019/5</t>
  </si>
  <si>
    <t>1019/6</t>
  </si>
  <si>
    <t>послуги банків за збір платежів</t>
  </si>
  <si>
    <t>опалення</t>
  </si>
  <si>
    <t>інші (охорона, зв'язок, освітлення, виготовлення розрахункових документів, обсл. програм. забезпеч-я, матеріали, інвентар, спецодяг, ремонт ін.)</t>
  </si>
  <si>
    <t>1067/1</t>
  </si>
  <si>
    <t>1067/2</t>
  </si>
  <si>
    <t>1067/3</t>
  </si>
  <si>
    <t>компенсація за перевищення ГДК</t>
  </si>
  <si>
    <t>% на кошти на р/рахунок</t>
  </si>
  <si>
    <t>за зданий металобрухт</t>
  </si>
  <si>
    <t>донарахування за самовільне безоблікове водокористування та водовідведення</t>
  </si>
  <si>
    <t>реалізація матеріалів на сторону</t>
  </si>
  <si>
    <t>повернуті кошти за користування зв'язком</t>
  </si>
  <si>
    <t>інформаційно-технічне забезпечення судового процесу</t>
  </si>
  <si>
    <t>дохід від безоплатно одержаних активів</t>
  </si>
  <si>
    <t>страхове відшкодування</t>
  </si>
  <si>
    <t>1073/1</t>
  </si>
  <si>
    <t>1073/2</t>
  </si>
  <si>
    <t>1073/3</t>
  </si>
  <si>
    <t>1073/4</t>
  </si>
  <si>
    <t>1073/5</t>
  </si>
  <si>
    <t>1073/6</t>
  </si>
  <si>
    <t>1073/7</t>
  </si>
  <si>
    <t>1073/8</t>
  </si>
  <si>
    <t>1073/9</t>
  </si>
  <si>
    <t>1073/10</t>
  </si>
  <si>
    <t>1073/11</t>
  </si>
  <si>
    <t>1073/12</t>
  </si>
  <si>
    <t>одержані штрафи і пені</t>
  </si>
  <si>
    <t>1086/1</t>
  </si>
  <si>
    <t>1086/2</t>
  </si>
  <si>
    <t>1086/3</t>
  </si>
  <si>
    <t>1086/4</t>
  </si>
  <si>
    <t>1086/5</t>
  </si>
  <si>
    <t>1086/6</t>
  </si>
  <si>
    <t>штрафи</t>
  </si>
  <si>
    <t>пеня за кредитом Світового банку</t>
  </si>
  <si>
    <t>знос по невиробничим основним засобам</t>
  </si>
  <si>
    <t>металобрухт</t>
  </si>
  <si>
    <t>інші (виплати по колдоговору, 5 днів лікарняних, ЄСВ на лікарняні, відрахування профкому, членські внески, пільгові пенсії, ін.)</t>
  </si>
  <si>
    <t>відсотки та маржа за кредитними зобов'язаннями</t>
  </si>
  <si>
    <t>відсотки по операційній оренді</t>
  </si>
  <si>
    <t>1140/1</t>
  </si>
  <si>
    <t>1140/2</t>
  </si>
  <si>
    <t>знос на безкоштовно передані ОЗ</t>
  </si>
  <si>
    <t>оприходувані ОЗ</t>
  </si>
  <si>
    <t>1152/1</t>
  </si>
  <si>
    <t>1152/2</t>
  </si>
  <si>
    <t>інші витрати (списані осн.зас., тех. докум.)</t>
  </si>
  <si>
    <t>Інші цілі (нарахування амортизації на дооцінені та списані основні засоби, дооцінка основних засобів при відчуженні)</t>
  </si>
  <si>
    <t>2060/1</t>
  </si>
  <si>
    <t>рентна плата за спеціальне використання води</t>
  </si>
  <si>
    <t>2116/1</t>
  </si>
  <si>
    <t>інші податки та збори (плата за радіочастоти)</t>
  </si>
  <si>
    <t>інші податки та збори (екологічний податок)</t>
  </si>
  <si>
    <t>інші податки, збори та платежі (військовий збір)</t>
  </si>
  <si>
    <t xml:space="preserve">інші надходження (компенсація Чорнобильських відпусток та лікарняних з ФСС, міжнародні організації, донорські установи) </t>
  </si>
  <si>
    <t>3154/1</t>
  </si>
  <si>
    <t>3157/1</t>
  </si>
  <si>
    <t xml:space="preserve">екологічний податок </t>
  </si>
  <si>
    <t>3157/2</t>
  </si>
  <si>
    <t>військовий збір</t>
  </si>
  <si>
    <t>3157/3</t>
  </si>
  <si>
    <t>3157/4</t>
  </si>
  <si>
    <t>Інші витрачання (штрафи, членські внески, відрахування профкому, внески на регулювання, відрядження, судовий збір, інше )</t>
  </si>
  <si>
    <t>модернізація, модифікація (добудова, дообладнання, реконструкція) основних засобів</t>
  </si>
  <si>
    <t>3290/1</t>
  </si>
  <si>
    <t>3290/2</t>
  </si>
  <si>
    <t>МБРР</t>
  </si>
  <si>
    <t>5.1</t>
  </si>
  <si>
    <t>5.2</t>
  </si>
  <si>
    <t>5.3</t>
  </si>
  <si>
    <t>5.4</t>
  </si>
  <si>
    <t>5.5</t>
  </si>
  <si>
    <t>5.6</t>
  </si>
  <si>
    <t>5.7</t>
  </si>
  <si>
    <t>інші адміністративні витрати (банківські послуги, бланки, канцтовари, обслуг. програм. забезпечення, передплата періодичних видань, підшивка документів, ін.)</t>
  </si>
  <si>
    <t xml:space="preserve">Інші надходження (відсотки на кошти на рахунках, плата за перевищення ГДК, оренда, зданий металобрухт, ін.) </t>
  </si>
  <si>
    <t>Рік початку і закінчення будівництва</t>
  </si>
  <si>
    <t>на 2026 рік</t>
  </si>
  <si>
    <t>Факт
минулого 2024 року</t>
  </si>
  <si>
    <t>План
поточного 2025 року</t>
  </si>
  <si>
    <t>Прогноз
на поточний 2025 рік</t>
  </si>
  <si>
    <t>Плановий 2026
рік</t>
  </si>
  <si>
    <t>плановий рік 2030 рік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</si>
  <si>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</si>
  <si>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</si>
  <si>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року</t>
  </si>
  <si>
    <t>Плановий 2026  рік</t>
  </si>
  <si>
    <t>Прогноз
на поточний
 2025 рік</t>
  </si>
  <si>
    <t>Плановий 2026 рік 
(усього)</t>
  </si>
  <si>
    <t>Факт минулого 2024 року</t>
  </si>
  <si>
    <t>План поточного 2025 року</t>
  </si>
  <si>
    <t>Плановий 2026 рік
(усього)</t>
  </si>
  <si>
    <t>Плановий
2026 рік
(усього)</t>
  </si>
  <si>
    <t>витрати на інформаційну діяльність та рекламу</t>
  </si>
  <si>
    <t>Інші зміни</t>
  </si>
  <si>
    <t>Заборгованість за кредитами на початок 2026 року</t>
  </si>
  <si>
    <t>Заборгованість за кредитами на кінець
 2026 року</t>
  </si>
  <si>
    <t>Реконструкція водопровідної насосної станції «Бобровиця» КП «Чернігівводоканал», розташованої на землях Киселівської територіальної громади Чернігівського району Чернігівської області</t>
  </si>
  <si>
    <t>Реконструкція наземного павільйону артезіанської свердловини №60 водопровідної насосної станції №2 "Подусівка", розташованої в Чернігівська область, Новобілоуська тариторіальна громада, урочище "Подусівка", №2</t>
  </si>
  <si>
    <t>Реконструкція наземного павільйону артезіанської свердловини №61 водопровідної насосної станції №2 "Подусівка", розташованої в Чернігівська область, Новобілоуська тариторіальна громада, урочище "Подусівка", №2</t>
  </si>
  <si>
    <t>Реконструкція самопливного каналізаційного колектору по вулиці Глібова, Леоніда Пашина від перехрестя з вулицею Красносільського до каналізаційної насосної станції КНС 5 в м. Чернігові. Коригування</t>
  </si>
  <si>
    <t>Реконструкція системи повітрозабезпечення каналізаційних очисних споруд м. Чернігів, що розташовані по вул. Колективній, 58 в с. Гущин Чернігівського району, Чернігівської області. (Коригування). Друга черга будівництва.</t>
  </si>
  <si>
    <t>Реконструкція системи повітрозабезпечення каналізаційних очисних споруд м. Чернігів, що розташовані по вул. Колективній, 58 в с. Гущин Чернігівського району, Чернігівської області. (Коригування). Третя черга будівництва.</t>
  </si>
  <si>
    <t>Інформація щодо проектно-кошторисної документації (стан розроблення, затвердження, у разі затвердження зазначити суб'єкт управління, яким затверджено, та відповідний документ)</t>
  </si>
  <si>
    <t>1013/1</t>
  </si>
  <si>
    <t>1012/1</t>
  </si>
  <si>
    <t>Витрати на паливо для роботи альтернативних джерел живлення</t>
  </si>
  <si>
    <t>Газ для роботи альтернативних джерел живлення</t>
  </si>
  <si>
    <t>юридичні, нотаріальні послуги</t>
  </si>
  <si>
    <t>відшкодування по акту перевірки</t>
  </si>
  <si>
    <t>498 чол.</t>
  </si>
  <si>
    <t>Знос</t>
  </si>
  <si>
    <t>Власні кошти (амортизаційні відрахування, статутні кошти)</t>
  </si>
  <si>
    <t>Інші джерела (міжнародні організації, донорські установи)</t>
  </si>
  <si>
    <t>Реконструкція водоводу артезіанських свердловин від вул. 77-ї Гвардійської дивізії до колодязя підключення артезіанської свердловини №2 водопровідної насосної станція №1 "Ялівщина" (вул. Фікселя, 54 в м. Чернігів)</t>
  </si>
  <si>
    <t>ФІНАНСОВИЙ ПЛАН</t>
  </si>
  <si>
    <t>"_____" лютого 2026 року № _____</t>
  </si>
  <si>
    <t>Директор КП "Чернігівводоканал"</t>
  </si>
  <si>
    <r>
      <t xml:space="preserve"> </t>
    </r>
    <r>
      <rPr>
        <u/>
        <sz val="14"/>
        <rFont val="Times New Roman"/>
        <family val="1"/>
        <charset val="204"/>
      </rPr>
      <t>Директор КП "Чернігівводоканал"</t>
    </r>
  </si>
  <si>
    <r>
      <t xml:space="preserve"> </t>
    </r>
    <r>
      <rPr>
        <sz val="14"/>
        <rFont val="Times New Roman"/>
        <family val="1"/>
        <charset val="204"/>
      </rPr>
      <t>Директор КП "Чернігівводоканал"</t>
    </r>
  </si>
  <si>
    <t>Рішенням виконавчого комітету Чернігівської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</si>
</sst>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00_);_(* \(#,##0.0000\);_(* &quot;-&quot;_);_(@_)"/>
    <numFmt numFmtId="181" formatCode="[$-2000401]0"/>
    <numFmt numFmtId="182" formatCode="0.0000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43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left" vertical="center"/>
    </xf>
    <xf numFmtId="173" fontId="5" fillId="0" borderId="3" xfId="0" applyNumberFormat="1" applyFont="1" applyFill="1" applyBorder="1" applyAlignment="1">
      <alignment horizontal="right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173" fontId="6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30" borderId="16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quotePrefix="1" applyFont="1" applyAlignment="1">
      <alignment horizontal="center" vertical="center"/>
    </xf>
    <xf numFmtId="173" fontId="6" fillId="0" borderId="0" xfId="0" applyNumberFormat="1" applyFont="1" applyAlignment="1">
      <alignment vertical="center"/>
    </xf>
    <xf numFmtId="173" fontId="5" fillId="0" borderId="0" xfId="0" applyNumberFormat="1" applyFont="1" applyAlignment="1">
      <alignment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wrapText="1"/>
    </xf>
    <xf numFmtId="179" fontId="5" fillId="0" borderId="3" xfId="0" applyNumberFormat="1" applyFont="1" applyFill="1" applyBorder="1" applyAlignment="1">
      <alignment horizontal="center" wrapText="1"/>
    </xf>
    <xf numFmtId="179" fontId="5" fillId="3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7" borderId="3" xfId="0" applyNumberFormat="1" applyFont="1" applyFill="1" applyBorder="1" applyAlignment="1">
      <alignment horizontal="center" vertical="center" wrapText="1"/>
    </xf>
    <xf numFmtId="177" fontId="5" fillId="27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80" fontId="72" fillId="0" borderId="3" xfId="0" applyNumberFormat="1" applyFont="1" applyFill="1" applyBorder="1" applyAlignment="1">
      <alignment horizontal="right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 applyBorder="1" applyAlignment="1">
      <alignment horizontal="right" vertical="center"/>
    </xf>
    <xf numFmtId="0" fontId="73" fillId="0" borderId="0" xfId="0" applyFont="1" applyFill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ont="1" applyBorder="1"/>
    <xf numFmtId="0" fontId="5" fillId="0" borderId="3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wrapText="1"/>
    </xf>
    <xf numFmtId="0" fontId="7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69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30" borderId="16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8" xfId="0" applyNumberFormat="1" applyFont="1" applyFill="1" applyBorder="1" applyAlignment="1">
      <alignment horizontal="center" vertical="center" wrapText="1"/>
    </xf>
    <xf numFmtId="179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70" fillId="0" borderId="0" xfId="0" applyFont="1" applyAlignment="1">
      <alignment horizontal="left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vertical="center" wrapText="1"/>
    </xf>
    <xf numFmtId="49" fontId="4" fillId="0" borderId="18" xfId="0" applyNumberFormat="1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top"/>
    </xf>
    <xf numFmtId="0" fontId="5" fillId="0" borderId="17" xfId="0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4" fillId="29" borderId="13" xfId="0" applyNumberFormat="1" applyFont="1" applyFill="1" applyBorder="1" applyAlignment="1">
      <alignment horizontal="center" vertical="center" wrapText="1"/>
    </xf>
    <xf numFmtId="178" fontId="4" fillId="29" borderId="19" xfId="0" applyNumberFormat="1" applyFont="1" applyFill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19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7" fontId="4" fillId="29" borderId="13" xfId="0" applyNumberFormat="1" applyFont="1" applyFill="1" applyBorder="1" applyAlignment="1">
      <alignment horizontal="center" vertical="center" wrapText="1"/>
    </xf>
    <xf numFmtId="177" fontId="4" fillId="29" borderId="19" xfId="0" applyNumberFormat="1" applyFont="1" applyFill="1" applyBorder="1" applyAlignment="1">
      <alignment horizontal="center" vertical="center" wrapText="1"/>
    </xf>
  </cellXfs>
  <cellStyles count="351">
    <cellStyle name="_Fakt_2" xfId="1" xr:uid="{1248040B-741B-4818-939F-43EA86CF2B7D}"/>
    <cellStyle name="_rozhufrovka 2009" xfId="2" xr:uid="{01309247-F058-4A4F-96C6-DC3C6BF2AF8D}"/>
    <cellStyle name="_АТиСТ 5а МТР липень 2008" xfId="3" xr:uid="{DC7A2AE7-8E3D-436D-BBA6-057B7B89064B}"/>
    <cellStyle name="_ПРГК сводний_" xfId="4" xr:uid="{815C656E-1EC2-4C31-8F7F-6F5A6C7DF7E8}"/>
    <cellStyle name="_УТГ" xfId="5" xr:uid="{1630FE54-71D8-45C1-B164-ECC8EC056E55}"/>
    <cellStyle name="_Феодосия 5а МТР липень 2008" xfId="6" xr:uid="{E605D690-F8D6-4185-AAFB-3E71D1539938}"/>
    <cellStyle name="_ХТГ довідка." xfId="7" xr:uid="{F9281D7F-E39A-469A-BB61-0CB8AB17D10E}"/>
    <cellStyle name="_Шебелинка 5а МТР липень 2008" xfId="8" xr:uid="{D234738F-C6C9-42DC-BBB0-1896E6D4AF0C}"/>
    <cellStyle name="20% - Accent1" xfId="9" xr:uid="{6CE36D5C-7A47-4133-9637-944C8338BAF7}"/>
    <cellStyle name="20% - Accent2" xfId="10" xr:uid="{912BD1D8-D48F-4734-8C28-C6134D72BDAF}"/>
    <cellStyle name="20% - Accent3" xfId="11" xr:uid="{04A36382-7FE7-4D6B-852B-2B812E7F144E}"/>
    <cellStyle name="20% - Accent4" xfId="12" xr:uid="{C359885A-2057-41E5-86AD-AD597F46D1D9}"/>
    <cellStyle name="20% - Accent5" xfId="13" xr:uid="{AF031E8D-244F-4A4D-A228-953424ECB43F}"/>
    <cellStyle name="20% - Accent6" xfId="14" xr:uid="{52628347-A59E-44AD-AF1C-A01760B6D1B6}"/>
    <cellStyle name="20% - Акцент1 2" xfId="15" xr:uid="{5477D13A-7B26-4328-9B1F-62EA5B664C85}"/>
    <cellStyle name="20% - Акцент1 3" xfId="16" xr:uid="{48F26D4D-9E1D-40D8-9E7E-A9A54D9D00FF}"/>
    <cellStyle name="20% - Акцент2 2" xfId="17" xr:uid="{A966ED8A-1E95-479B-93E1-DD349EB1701B}"/>
    <cellStyle name="20% - Акцент2 3" xfId="18" xr:uid="{0182751E-F220-47C3-B4F8-3961E3FA3E24}"/>
    <cellStyle name="20% - Акцент3 2" xfId="19" xr:uid="{FDCE5755-9BC6-439B-A342-FC82C8959300}"/>
    <cellStyle name="20% - Акцент3 3" xfId="20" xr:uid="{E3425389-227C-438E-8508-482C771DC51F}"/>
    <cellStyle name="20% - Акцент4 2" xfId="21" xr:uid="{A7125A13-7A49-4261-A488-CD66DABC68E6}"/>
    <cellStyle name="20% - Акцент4 3" xfId="22" xr:uid="{75DF40B6-73CA-4878-B7BF-521D58EB223A}"/>
    <cellStyle name="20% - Акцент5 2" xfId="23" xr:uid="{CC4B01F4-C86E-4BF9-854D-280D1A2FAE55}"/>
    <cellStyle name="20% - Акцент5 3" xfId="24" xr:uid="{0DC16413-5FEE-4387-A48D-E6E8C72FDD0B}"/>
    <cellStyle name="20% - Акцент6 2" xfId="25" xr:uid="{9A5E4303-F530-46D1-9B3D-FF9167BD939B}"/>
    <cellStyle name="20% - Акцент6 3" xfId="26" xr:uid="{65C41DB7-8EDF-4567-A3A8-C62ABDACB4BC}"/>
    <cellStyle name="40% - Accent1" xfId="27" xr:uid="{E9D72A95-2B08-4402-A6A7-6ACF94025B2C}"/>
    <cellStyle name="40% - Accent2" xfId="28" xr:uid="{059711DF-4B04-4FEC-A784-BBA12BFD808D}"/>
    <cellStyle name="40% - Accent3" xfId="29" xr:uid="{91B7BA75-C0E7-49AB-8FDD-717384F48B26}"/>
    <cellStyle name="40% - Accent4" xfId="30" xr:uid="{EDF57C0A-9CCE-488D-9AA6-AC42680DA223}"/>
    <cellStyle name="40% - Accent5" xfId="31" xr:uid="{F296D20F-3AF7-4512-B226-B9204B94009C}"/>
    <cellStyle name="40% - Accent6" xfId="32" xr:uid="{E6AB6AD3-EC02-4C96-9792-614700643592}"/>
    <cellStyle name="40% - Акцент1 2" xfId="33" xr:uid="{372C8861-C3DA-47E3-A066-10C5208615C5}"/>
    <cellStyle name="40% - Акцент1 3" xfId="34" xr:uid="{D8BDAB15-0B03-4C37-87ED-FF7C2DE7A3E6}"/>
    <cellStyle name="40% - Акцент2 2" xfId="35" xr:uid="{71937A05-6F0E-4E19-BE45-CD7A7D7124DA}"/>
    <cellStyle name="40% - Акцент2 3" xfId="36" xr:uid="{B8420A60-C92F-4431-A04A-3CE8C099AF46}"/>
    <cellStyle name="40% - Акцент3 2" xfId="37" xr:uid="{CB8B83AA-2850-499C-A9FE-647A3A2813E3}"/>
    <cellStyle name="40% - Акцент3 3" xfId="38" xr:uid="{B6F7099A-8042-44AE-8A74-8BA923ECCF2D}"/>
    <cellStyle name="40% - Акцент4 2" xfId="39" xr:uid="{3A275EB6-B5D0-437F-A137-04D014950A1C}"/>
    <cellStyle name="40% - Акцент4 3" xfId="40" xr:uid="{B54FEB1A-6580-4529-B214-300AAD5221A6}"/>
    <cellStyle name="40% - Акцент5 2" xfId="41" xr:uid="{23D0F329-42F2-4326-8BD7-7A762DE5E653}"/>
    <cellStyle name="40% - Акцент5 3" xfId="42" xr:uid="{71AC520A-E096-408C-96EF-D78775E4655D}"/>
    <cellStyle name="40% - Акцент6 2" xfId="43" xr:uid="{7ADE27CC-D46D-47BF-A053-334EB7379AB3}"/>
    <cellStyle name="40% - Акцент6 3" xfId="44" xr:uid="{8AFF7EC3-EDD5-46E6-9711-668A0C4E1ADF}"/>
    <cellStyle name="60% - Accent1" xfId="45" xr:uid="{78504819-0F3E-4B79-8BD9-7AC1C5162BB6}"/>
    <cellStyle name="60% - Accent2" xfId="46" xr:uid="{3BAFCD1C-D57F-43B9-96A0-7EE620DD92E1}"/>
    <cellStyle name="60% - Accent3" xfId="47" xr:uid="{87B859A8-8BFB-45C7-9003-D2BD274D6D6B}"/>
    <cellStyle name="60% - Accent4" xfId="48" xr:uid="{D30D21A6-7FCC-4685-A9DF-17B281627FF4}"/>
    <cellStyle name="60% - Accent5" xfId="49" xr:uid="{1A21CE86-8C01-4D25-9F76-23AB572D8551}"/>
    <cellStyle name="60% - Accent6" xfId="50" xr:uid="{72E72D30-B3EC-4EEE-BEB1-769F0F349D81}"/>
    <cellStyle name="60% - Акцент1 2" xfId="51" xr:uid="{31711B51-1377-4BC9-95B2-575DE3BD00C0}"/>
    <cellStyle name="60% - Акцент1 3" xfId="52" xr:uid="{8DEF0214-A28B-4F05-AAB9-ABA2B118B81B}"/>
    <cellStyle name="60% - Акцент2 2" xfId="53" xr:uid="{56A617FD-6B59-4309-B45A-35490C88BB5E}"/>
    <cellStyle name="60% - Акцент2 3" xfId="54" xr:uid="{7142566C-50BC-4245-B594-1AB0B81BE9F9}"/>
    <cellStyle name="60% - Акцент3 2" xfId="55" xr:uid="{19989FA6-0417-4B09-92C3-DC423579716A}"/>
    <cellStyle name="60% - Акцент3 3" xfId="56" xr:uid="{0741B195-BFAD-4A84-8497-9C2ED734C755}"/>
    <cellStyle name="60% - Акцент4 2" xfId="57" xr:uid="{2BD3D285-03D9-4616-B60F-B847E2E082E8}"/>
    <cellStyle name="60% - Акцент4 3" xfId="58" xr:uid="{9ECA3762-DAF1-47F8-9403-50F5653CC3E4}"/>
    <cellStyle name="60% - Акцент5 2" xfId="59" xr:uid="{2DABB353-1DC0-4F26-B5A0-C904E6B07584}"/>
    <cellStyle name="60% - Акцент5 3" xfId="60" xr:uid="{924E8CCE-0A81-4489-B8CE-C51F6849C463}"/>
    <cellStyle name="60% - Акцент6 2" xfId="61" xr:uid="{4606A945-252A-4ADF-9E58-EBC7D02C5410}"/>
    <cellStyle name="60% - Акцент6 3" xfId="62" xr:uid="{EE2A1DB3-2DCC-40DE-9E40-FD471802DCF6}"/>
    <cellStyle name="Accent1" xfId="63" xr:uid="{484641D5-544D-4B70-8957-6C9FFE9F7FEE}"/>
    <cellStyle name="Accent2" xfId="64" xr:uid="{9C16FB16-F3E5-49A3-B42C-5BFC66A90D6A}"/>
    <cellStyle name="Accent3" xfId="65" xr:uid="{37672C68-4737-48DA-824A-B13F387564CE}"/>
    <cellStyle name="Accent4" xfId="66" xr:uid="{430111D2-B7A2-4ADB-AEA9-A1B84C7F59CF}"/>
    <cellStyle name="Accent5" xfId="67" xr:uid="{A92A2002-6DD5-4E4F-9DE1-47B7EE54549D}"/>
    <cellStyle name="Accent6" xfId="68" xr:uid="{F46A5041-CDCE-4151-B53A-4C31DD2018D0}"/>
    <cellStyle name="Bad" xfId="69" xr:uid="{6915A18F-605E-475C-A1F9-8D91CB09D602}"/>
    <cellStyle name="Calculation" xfId="70" xr:uid="{C4AE0839-E1B1-45EE-A60A-9C5FB0C17C61}"/>
    <cellStyle name="Check Cell" xfId="71" xr:uid="{07B4B43F-4ECD-444D-9A0D-9E775C250C98}"/>
    <cellStyle name="Column-Header" xfId="72" xr:uid="{F3A585A4-28E5-4FDE-AA26-473C835CDBAC}"/>
    <cellStyle name="Column-Header 2" xfId="73" xr:uid="{0835BAD9-4AD3-4035-97DD-78412A943B2E}"/>
    <cellStyle name="Column-Header 3" xfId="74" xr:uid="{53CE4C9A-A27E-4A3C-8484-72189251A3F3}"/>
    <cellStyle name="Column-Header 4" xfId="75" xr:uid="{18A41A90-8BA8-4D64-B6CF-00B741102E5B}"/>
    <cellStyle name="Column-Header 5" xfId="76" xr:uid="{15AE5FC8-3018-44C4-A876-8F3CED36102A}"/>
    <cellStyle name="Column-Header 6" xfId="77" xr:uid="{B98B8A91-CA00-4F1F-A9CF-C0F709B850CD}"/>
    <cellStyle name="Column-Header 7" xfId="78" xr:uid="{E5A1AA56-C4A5-47E2-9674-84A3338B1E4B}"/>
    <cellStyle name="Column-Header 7 2" xfId="79" xr:uid="{B089E2C7-F052-4A21-B8B1-C86881C09A52}"/>
    <cellStyle name="Column-Header 8" xfId="80" xr:uid="{12A4B341-AD81-4494-9A2E-73B13957C99D}"/>
    <cellStyle name="Column-Header 8 2" xfId="81" xr:uid="{2D3E2DF9-92EF-4A30-8BA6-EE55CB0E23D7}"/>
    <cellStyle name="Column-Header 9" xfId="82" xr:uid="{911063E2-DB7D-4D07-8FD1-2EA6EFDD4FB5}"/>
    <cellStyle name="Column-Header 9 2" xfId="83" xr:uid="{6E5D3F59-A17D-4353-B41E-8C33C221B23A}"/>
    <cellStyle name="Column-Header_Zvit rux-koshtiv 2010 Департамент " xfId="84" xr:uid="{0965C45F-1301-47FD-B70A-9DC7BEC712AD}"/>
    <cellStyle name="Define-Column" xfId="85" xr:uid="{C6FEC847-2E48-4295-9013-BB08AF79C210}"/>
    <cellStyle name="Define-Column 10" xfId="86" xr:uid="{0F51377F-1643-45AD-906E-5D7F261F69BC}"/>
    <cellStyle name="Define-Column 2" xfId="87" xr:uid="{4FC5F042-63B1-4C47-A3E2-2003AC5873F4}"/>
    <cellStyle name="Define-Column 3" xfId="88" xr:uid="{E8198ABB-8DA5-42DE-8125-61F3F524E5C4}"/>
    <cellStyle name="Define-Column 4" xfId="89" xr:uid="{4FA41340-A46B-4DDC-8CD8-AD5E29EF8492}"/>
    <cellStyle name="Define-Column 5" xfId="90" xr:uid="{7408DC51-2D0F-4F07-994C-453D84EC1A8B}"/>
    <cellStyle name="Define-Column 6" xfId="91" xr:uid="{46AF7E8A-ACDD-455A-AEAD-6CB39EC0A3BE}"/>
    <cellStyle name="Define-Column 7" xfId="92" xr:uid="{34697466-38CA-42D4-962D-76E78EF0D352}"/>
    <cellStyle name="Define-Column 7 2" xfId="93" xr:uid="{6A2A4DA1-0578-4A85-98EE-C8139B1A6806}"/>
    <cellStyle name="Define-Column 7 3" xfId="94" xr:uid="{00669FC0-EBAC-4857-94FA-48598F736006}"/>
    <cellStyle name="Define-Column 8" xfId="95" xr:uid="{1A92A7EB-843A-4E03-BC51-487AA5DE6ED4}"/>
    <cellStyle name="Define-Column 8 2" xfId="96" xr:uid="{06BDBE22-A3DF-4A44-AB8A-29F2E5AEBFF6}"/>
    <cellStyle name="Define-Column 8 3" xfId="97" xr:uid="{63E80579-4E43-4C10-807F-3A9F4548E35A}"/>
    <cellStyle name="Define-Column 9" xfId="98" xr:uid="{880C10D9-B913-4855-B1EF-44EA694CD606}"/>
    <cellStyle name="Define-Column 9 2" xfId="99" xr:uid="{AE5B700D-A510-4993-9692-9ED82B852C67}"/>
    <cellStyle name="Define-Column 9 3" xfId="100" xr:uid="{6ED98C90-C088-4C4C-B14E-C04E6D1FCEAF}"/>
    <cellStyle name="Define-Column_Zvit rux-koshtiv 2010 Департамент " xfId="101" xr:uid="{B72BE51F-7E3A-4F4F-9A91-92F0F6EA8758}"/>
    <cellStyle name="Explanatory Text" xfId="102" xr:uid="{1C7B6853-685E-4455-AE2E-39CFE1244897}"/>
    <cellStyle name="FS10" xfId="103" xr:uid="{47906A37-8C6B-4A4A-B077-B1075D3AFDF1}"/>
    <cellStyle name="Good" xfId="104" xr:uid="{AB4BD713-AB95-4E1F-9024-AE7FFA45F0B3}"/>
    <cellStyle name="Heading 1" xfId="105" xr:uid="{5E5B0DAC-4F2F-4C06-BBA2-35882B4B97CA}"/>
    <cellStyle name="Heading 2" xfId="106" xr:uid="{C05BE8B6-5CE0-4E27-8586-275C8DD9EE16}"/>
    <cellStyle name="Heading 3" xfId="107" xr:uid="{65F7883D-B228-4D03-A19B-E65FE0353DF5}"/>
    <cellStyle name="Heading 4" xfId="108" xr:uid="{3217DAAC-2253-4076-A2B8-DA6D735E900D}"/>
    <cellStyle name="Hyperlink 2" xfId="109" xr:uid="{17C4B938-CE47-41EB-BE4F-9BDDAFFB0EC5}"/>
    <cellStyle name="Input" xfId="110" xr:uid="{B05510D9-E5D0-4D24-AC07-A6359FD08C7C}"/>
    <cellStyle name="Level0" xfId="111" xr:uid="{9D48683E-A52D-4E0D-8099-6549B6439735}"/>
    <cellStyle name="Level0 10" xfId="112" xr:uid="{B8FE7B8D-91FB-4859-BCEC-1EE432C4A3DD}"/>
    <cellStyle name="Level0 2" xfId="113" xr:uid="{B2CF75B1-8E2B-478D-84D7-CAB5BFE17241}"/>
    <cellStyle name="Level0 2 2" xfId="114" xr:uid="{5399C492-271D-4EB0-B443-06248ADD14F5}"/>
    <cellStyle name="Level0 3" xfId="115" xr:uid="{AA8A601F-8527-4DDE-99BF-2FADED1E684D}"/>
    <cellStyle name="Level0 3 2" xfId="116" xr:uid="{F7124DE2-FE2A-4D7C-B3BC-65D4A8E39D88}"/>
    <cellStyle name="Level0 4" xfId="117" xr:uid="{A92147FA-1ABD-4AA6-B34D-DFEC3035A958}"/>
    <cellStyle name="Level0 4 2" xfId="118" xr:uid="{1138E63B-ED42-4F67-B79B-AA09C53B72C5}"/>
    <cellStyle name="Level0 5" xfId="119" xr:uid="{4CBCCA62-EA75-4E0A-ADFB-5A4D34DB409B}"/>
    <cellStyle name="Level0 6" xfId="120" xr:uid="{C0F3CCB8-C736-4777-9D8B-494D7B9E704A}"/>
    <cellStyle name="Level0 7" xfId="121" xr:uid="{5A208E47-3D84-46F4-AA37-3EC00D09D165}"/>
    <cellStyle name="Level0 7 2" xfId="122" xr:uid="{6DA2A7E0-0BDC-40D9-9D9B-8B61969DB2ED}"/>
    <cellStyle name="Level0 7 3" xfId="123" xr:uid="{1598CD38-09E6-4F38-A92C-7456FF33DB56}"/>
    <cellStyle name="Level0 8" xfId="124" xr:uid="{5EF5DA02-23B4-4A49-82BC-B796C575D9A4}"/>
    <cellStyle name="Level0 8 2" xfId="125" xr:uid="{2E57F760-8945-483E-8B07-22927B9813F9}"/>
    <cellStyle name="Level0 8 3" xfId="126" xr:uid="{CDBB8B99-872F-403D-84F9-B4EC53A875D6}"/>
    <cellStyle name="Level0 9" xfId="127" xr:uid="{8C818B40-FE6E-4A62-87E7-1FD9B3F110D1}"/>
    <cellStyle name="Level0 9 2" xfId="128" xr:uid="{78E78E52-71F6-41E6-80D6-B98E2380304A}"/>
    <cellStyle name="Level0 9 3" xfId="129" xr:uid="{1F0E318F-BFB8-4AA7-8BD7-6F9F5580C906}"/>
    <cellStyle name="Level0_Zvit rux-koshtiv 2010 Департамент " xfId="130" xr:uid="{3FA8C0CF-5D79-40E9-B06C-8C45D6960193}"/>
    <cellStyle name="Level1" xfId="131" xr:uid="{BDC90629-6B52-4C32-A0FA-0DA8575B8137}"/>
    <cellStyle name="Level1 2" xfId="132" xr:uid="{39EF8DC4-EDCD-48CE-B686-92FD0EFAC0DE}"/>
    <cellStyle name="Level1-Numbers" xfId="133" xr:uid="{3A414CB1-B723-408B-AD34-00DC5FB7C860}"/>
    <cellStyle name="Level1-Numbers 2" xfId="134" xr:uid="{29181726-50FC-40D6-97D5-AB3FCB405A3E}"/>
    <cellStyle name="Level1-Numbers-Hide" xfId="135" xr:uid="{3E5CBB1C-22E7-4CDD-85A0-45B45BA2A226}"/>
    <cellStyle name="Level2" xfId="136" xr:uid="{DF9360EB-111B-4E64-9668-48B64F499BFB}"/>
    <cellStyle name="Level2 2" xfId="137" xr:uid="{8CE9C652-2CEF-442A-A064-899B5474EEF4}"/>
    <cellStyle name="Level2-Hide" xfId="138" xr:uid="{40D6639D-130E-46F2-B941-1DEEE1D18700}"/>
    <cellStyle name="Level2-Hide 2" xfId="139" xr:uid="{069A803B-69B4-4D8A-931D-B0DF04267539}"/>
    <cellStyle name="Level2-Numbers" xfId="140" xr:uid="{B6BE8361-140F-463E-9462-2A92B6FCA54B}"/>
    <cellStyle name="Level2-Numbers 2" xfId="141" xr:uid="{82794B49-AD90-4E44-BE06-62B100AB90C3}"/>
    <cellStyle name="Level2-Numbers-Hide" xfId="142" xr:uid="{A00EDB4D-B614-4EA3-BD38-6B2E8EEF4A88}"/>
    <cellStyle name="Level3" xfId="143" xr:uid="{B38B1559-F4DA-4A00-A81F-9BE69826FD59}"/>
    <cellStyle name="Level3 2" xfId="144" xr:uid="{604ED0CF-1F36-45C6-9E5A-B2FFA1A5446C}"/>
    <cellStyle name="Level3 3" xfId="145" xr:uid="{4D399B02-96AC-42EB-9D0F-0D571799FC5F}"/>
    <cellStyle name="Level3_План департамент_2010_1207" xfId="146" xr:uid="{8152B4F7-CAC6-472D-91C9-E11581053C24}"/>
    <cellStyle name="Level3-Hide" xfId="147" xr:uid="{00BAB11D-9506-4959-9B40-208FEEC20070}"/>
    <cellStyle name="Level3-Hide 2" xfId="148" xr:uid="{346FCE62-9B66-41FD-A98A-EE6A4EDCBB6D}"/>
    <cellStyle name="Level3-Numbers" xfId="149" xr:uid="{93CDA5E2-162C-44F0-8955-357B6D7C1926}"/>
    <cellStyle name="Level3-Numbers 2" xfId="150" xr:uid="{865728C7-644A-4980-9773-7B56C3B686D8}"/>
    <cellStyle name="Level3-Numbers 3" xfId="151" xr:uid="{6D1DABFF-3A03-4F44-930C-64AC5F0FBF72}"/>
    <cellStyle name="Level3-Numbers_План департамент_2010_1207" xfId="152" xr:uid="{99233808-A8B9-4BC7-9BE9-23C2209EEDC0}"/>
    <cellStyle name="Level3-Numbers-Hide" xfId="153" xr:uid="{3F67AB6E-8236-4605-B676-5D4BC953E27B}"/>
    <cellStyle name="Level4" xfId="154" xr:uid="{70ED86CD-9FE4-4414-B98E-04A19018F299}"/>
    <cellStyle name="Level4 2" xfId="155" xr:uid="{3C3C69C7-A5E6-424C-82FB-60DDB06D6025}"/>
    <cellStyle name="Level4-Hide" xfId="156" xr:uid="{D300ABD3-474F-4C47-A503-CA3344807619}"/>
    <cellStyle name="Level4-Hide 2" xfId="157" xr:uid="{7E6AD8F7-4D11-4661-B6DA-8ED3720C2719}"/>
    <cellStyle name="Level4-Numbers" xfId="158" xr:uid="{4D16441D-8DF3-4ED5-B7C0-F34BBE1DE4F3}"/>
    <cellStyle name="Level4-Numbers 2" xfId="159" xr:uid="{458089BC-5AC8-4341-B8B1-315F01FEB6C4}"/>
    <cellStyle name="Level4-Numbers-Hide" xfId="160" xr:uid="{D8BE14E7-2350-41EA-8E59-8E0B85F7CBDB}"/>
    <cellStyle name="Level5" xfId="161" xr:uid="{78EF9D20-076F-473A-B223-615863E31E52}"/>
    <cellStyle name="Level5 2" xfId="162" xr:uid="{5CA30B85-5DFB-4075-953D-3F2687E7126C}"/>
    <cellStyle name="Level5-Hide" xfId="163" xr:uid="{05757172-93A7-4248-A025-BD73EECDABFF}"/>
    <cellStyle name="Level5-Hide 2" xfId="164" xr:uid="{5D8D5265-E687-4A52-9760-DE05A39ADC39}"/>
    <cellStyle name="Level5-Numbers" xfId="165" xr:uid="{7973EE4F-E9D8-4C32-A08E-E686620D12C3}"/>
    <cellStyle name="Level5-Numbers 2" xfId="166" xr:uid="{FC2DA0AC-6D27-49A0-ADB4-406A44CF5109}"/>
    <cellStyle name="Level5-Numbers-Hide" xfId="167" xr:uid="{51F34C38-2C76-4CA1-B1A5-C9659CFDE5B1}"/>
    <cellStyle name="Level6" xfId="168" xr:uid="{170BA364-7AF0-421F-8586-5BDAB89D031E}"/>
    <cellStyle name="Level6 2" xfId="169" xr:uid="{CD35BE3B-747F-4235-A2E4-7001D9C22CA5}"/>
    <cellStyle name="Level6-Hide" xfId="170" xr:uid="{84B99AFA-B11E-404B-A608-4C50308EF461}"/>
    <cellStyle name="Level6-Hide 2" xfId="171" xr:uid="{78327A01-8C67-43A5-933F-0DDA8AFF555C}"/>
    <cellStyle name="Level6-Numbers" xfId="172" xr:uid="{D140C9B7-3ADB-48C7-889E-7DC30B8D337A}"/>
    <cellStyle name="Level6-Numbers 2" xfId="173" xr:uid="{8E866E61-9569-4952-9C83-3474818317DB}"/>
    <cellStyle name="Level7" xfId="174" xr:uid="{33B4D937-8646-4DC4-A4E5-0C6EE780A5CD}"/>
    <cellStyle name="Level7-Hide" xfId="175" xr:uid="{BC29702C-CAAF-4E5C-99FE-FD2041F1888A}"/>
    <cellStyle name="Level7-Numbers" xfId="176" xr:uid="{9A5D6D8C-1615-4ADF-87F0-D8A0A7202EB4}"/>
    <cellStyle name="Linked Cell" xfId="177" xr:uid="{4725D5D3-37FB-491A-A535-AB8246633B51}"/>
    <cellStyle name="Neutral" xfId="178" xr:uid="{F5F37B36-4AA1-4B69-A11B-D553B8EBA7F1}"/>
    <cellStyle name="Normal 2" xfId="179" xr:uid="{48BA6662-4C3F-4CFA-854A-C66EB0F8B900}"/>
    <cellStyle name="Normal_GSE DCF_Model_31_07_09 final" xfId="180" xr:uid="{FC530B8F-51B7-455C-A1B0-31C5316AD4AD}"/>
    <cellStyle name="Note" xfId="181" xr:uid="{7EC71070-1F90-42D3-B7C6-59BFE87ABE87}"/>
    <cellStyle name="Number-Cells" xfId="182" xr:uid="{987B1E3D-BD63-41A8-8766-8E8B928386A9}"/>
    <cellStyle name="Number-Cells-Column2" xfId="183" xr:uid="{1B50DCE9-9A6C-4DD1-9E8F-4FA46189DD1D}"/>
    <cellStyle name="Number-Cells-Column5" xfId="184" xr:uid="{CEF14459-9671-442A-A757-B35FA8B696BC}"/>
    <cellStyle name="Output" xfId="185" xr:uid="{B74B4FB1-4BBB-4841-A423-4FE56B06BD42}"/>
    <cellStyle name="Row-Header" xfId="186" xr:uid="{3B153498-E9E1-418A-931D-EFBB5E19B455}"/>
    <cellStyle name="Row-Header 2" xfId="187" xr:uid="{B0B761F9-36DC-4044-B5AA-6F20FDB62264}"/>
    <cellStyle name="Title" xfId="188" xr:uid="{E7CD6B7B-EC03-4CE4-8492-8A7C9A79284F}"/>
    <cellStyle name="Total" xfId="189" xr:uid="{16B10046-78EB-431E-83CA-BEFAC4A5C551}"/>
    <cellStyle name="Warning Text" xfId="190" xr:uid="{04E542AF-26D1-40E2-9C6D-C0080E0BA82C}"/>
    <cellStyle name="Акцент1 2" xfId="191" xr:uid="{736BA3EA-1C86-4CE8-B2F7-8F8D374DEDEC}"/>
    <cellStyle name="Акцент1 3" xfId="192" xr:uid="{9AED0382-8C61-4704-A986-8E6611044EDB}"/>
    <cellStyle name="Акцент2 2" xfId="193" xr:uid="{FA494613-F8DB-40B5-A10D-420E0A76BD1D}"/>
    <cellStyle name="Акцент2 3" xfId="194" xr:uid="{2921B4E1-2ADF-4E80-A4B4-870D1BF0EA54}"/>
    <cellStyle name="Акцент3 2" xfId="195" xr:uid="{C63DCD98-2F8B-430D-951B-28C37D7A8F9F}"/>
    <cellStyle name="Акцент3 3" xfId="196" xr:uid="{72091F44-792E-4E57-82EF-72557C868239}"/>
    <cellStyle name="Акцент4 2" xfId="197" xr:uid="{C94855E4-2CAA-4F52-89A4-5AC4DE069F21}"/>
    <cellStyle name="Акцент4 3" xfId="198" xr:uid="{07C4394E-EE47-4951-BA4E-7485E3D08DE7}"/>
    <cellStyle name="Акцент5 2" xfId="199" xr:uid="{0B0795D0-7C9A-483A-8E23-A79EA016680C}"/>
    <cellStyle name="Акцент5 3" xfId="200" xr:uid="{A5D1EDC1-4954-4BD1-B1B1-6CD61B39FDDF}"/>
    <cellStyle name="Акцент6 2" xfId="201" xr:uid="{D049512D-E035-4E9F-9FD6-D944C2FA2C01}"/>
    <cellStyle name="Акцент6 3" xfId="202" xr:uid="{7A4DBEBC-BB5F-4859-ACA5-74BD8DD78EFC}"/>
    <cellStyle name="Ввод  2" xfId="203" xr:uid="{6504C106-F50D-4CEF-BB41-271B9916B719}"/>
    <cellStyle name="Ввод  3" xfId="204" xr:uid="{92D89F85-58E2-4BE9-BA24-E84ED540CB26}"/>
    <cellStyle name="Вывод 2" xfId="205" xr:uid="{15CC0488-C3BE-4FF9-A343-E5B94281F98F}"/>
    <cellStyle name="Вывод 3" xfId="206" xr:uid="{A8803A45-B8A3-4DD3-B38C-73CC327169AF}"/>
    <cellStyle name="Вычисление 2" xfId="207" xr:uid="{FF364BAB-006B-4D7A-A712-1EEA8E2647B3}"/>
    <cellStyle name="Вычисление 3" xfId="208" xr:uid="{42472741-6B3F-433C-A552-301BF7BD417B}"/>
    <cellStyle name="Денежный 2" xfId="209" xr:uid="{9851293B-610D-4BBD-99DA-2964B25AB202}"/>
    <cellStyle name="Заголовок 1 2" xfId="210" xr:uid="{DB2F2AB6-6982-4E88-B2A9-CBB723BE76C7}"/>
    <cellStyle name="Заголовок 1 3" xfId="211" xr:uid="{12F487BC-E8FE-454E-9A31-C5CA8F7889D4}"/>
    <cellStyle name="Заголовок 2 2" xfId="212" xr:uid="{0CC34E19-6183-46C5-961E-0B0F057A9DC7}"/>
    <cellStyle name="Заголовок 2 3" xfId="213" xr:uid="{5036B853-7AA0-4C73-8334-4C689FF3CC10}"/>
    <cellStyle name="Заголовок 3 2" xfId="214" xr:uid="{C157A3DE-152E-4ADF-B676-42A2A0409AC6}"/>
    <cellStyle name="Заголовок 3 3" xfId="215" xr:uid="{483CB2B0-01BD-4A24-88DD-2CF41A472081}"/>
    <cellStyle name="Заголовок 4 2" xfId="216" xr:uid="{FF505C72-841D-4247-AFC3-E009DB54877C}"/>
    <cellStyle name="Заголовок 4 3" xfId="217" xr:uid="{88E59811-867D-4F05-8063-B2C0E4280503}"/>
    <cellStyle name="Итог 2" xfId="218" xr:uid="{27A16754-EB8D-42DC-8775-6F8AF6207161}"/>
    <cellStyle name="Итог 3" xfId="219" xr:uid="{972DFD14-2ECC-409B-8C99-3A6683BF6240}"/>
    <cellStyle name="Контрольная ячейка 2" xfId="220" xr:uid="{5070AD67-D0E2-4A1B-B646-FE0976E80AC7}"/>
    <cellStyle name="Контрольная ячейка 3" xfId="221" xr:uid="{559757C6-0A1D-40F9-A473-ADD20EE2F24E}"/>
    <cellStyle name="Название 2" xfId="222" xr:uid="{10BC997C-8B92-4E2A-8034-F08E5A075DD0}"/>
    <cellStyle name="Название 3" xfId="223" xr:uid="{AC3B06DA-AE09-4585-A646-58868D48F33F}"/>
    <cellStyle name="Нейтральный 2" xfId="224" xr:uid="{27266F85-3762-4BEC-9319-7892641A3102}"/>
    <cellStyle name="Нейтральный 3" xfId="225" xr:uid="{EBB141DB-FC48-4DF1-8BA9-B4B37B51C3A3}"/>
    <cellStyle name="Обычный" xfId="0" builtinId="0"/>
    <cellStyle name="Обычный 10" xfId="226" xr:uid="{27965233-48F6-4BEF-BB08-D193228D70AE}"/>
    <cellStyle name="Обычный 11" xfId="227" xr:uid="{8539FFA5-ACB6-4301-863A-4DD6F2E28107}"/>
    <cellStyle name="Обычный 12" xfId="228" xr:uid="{072D9EB5-72E0-4CBC-BF0D-84A69E56E960}"/>
    <cellStyle name="Обычный 13" xfId="229" xr:uid="{65A1DFAD-F580-4015-8A85-5AB1ABC8DF18}"/>
    <cellStyle name="Обычный 14" xfId="230" xr:uid="{31244BD8-38F1-4E26-8176-92BC6DD45E5E}"/>
    <cellStyle name="Обычный 15" xfId="231" xr:uid="{B986B3A4-E893-4446-9EB7-FCB05D5769D3}"/>
    <cellStyle name="Обычный 16" xfId="232" xr:uid="{1B5277F5-9A47-4B98-9E0B-220006478BB3}"/>
    <cellStyle name="Обычный 17" xfId="233" xr:uid="{CCD61D0E-BEF7-4CA2-8B76-32DD147DBBF5}"/>
    <cellStyle name="Обычный 18" xfId="234" xr:uid="{C6EF10BF-F95A-4677-8198-7B74EA08F522}"/>
    <cellStyle name="Обычный 2" xfId="235" xr:uid="{B4449D3E-FB15-4678-9D96-2C18E2B5CEA2}"/>
    <cellStyle name="Обычный 2 10" xfId="236" xr:uid="{E49EA936-E184-4B2F-9BA5-FE98495D6E14}"/>
    <cellStyle name="Обычный 2 11" xfId="237" xr:uid="{4518845F-A1E7-4317-9B22-8B90A7502B74}"/>
    <cellStyle name="Обычный 2 12" xfId="238" xr:uid="{553AD326-6A37-4F0F-80AE-959961078E6C}"/>
    <cellStyle name="Обычный 2 13" xfId="239" xr:uid="{E19ED93E-0D9F-4813-AD6D-0936845DBCDD}"/>
    <cellStyle name="Обычный 2 14" xfId="240" xr:uid="{EB649391-FBD0-4885-80F4-E4EEA0BB8E70}"/>
    <cellStyle name="Обычный 2 15" xfId="241" xr:uid="{C5B3A357-5048-4BEF-9CF2-3135989BB80B}"/>
    <cellStyle name="Обычный 2 16" xfId="242" xr:uid="{82E5359B-C672-4173-82C7-589767B3BA03}"/>
    <cellStyle name="Обычный 2 2" xfId="243" xr:uid="{65A59FF6-02C1-48F4-94B6-7071E23D72E7}"/>
    <cellStyle name="Обычный 2 2 2" xfId="244" xr:uid="{160AA076-D06E-4BC9-86E7-B522DE219850}"/>
    <cellStyle name="Обычный 2 2 3" xfId="245" xr:uid="{5B28883E-C05B-4066-BF7E-5E435B4439DA}"/>
    <cellStyle name="Обычный 2 2_Расшифровка прочих" xfId="246" xr:uid="{07C1F82B-E67E-4EAC-9041-3B872808FB11}"/>
    <cellStyle name="Обычный 2 3" xfId="247" xr:uid="{56CB4F3E-4632-4798-9FFB-1E40DA005E7E}"/>
    <cellStyle name="Обычный 2 4" xfId="248" xr:uid="{BD510589-0669-4B31-BDAD-6CAB3227EB8C}"/>
    <cellStyle name="Обычный 2 5" xfId="249" xr:uid="{836339C8-6951-40EB-A405-980F83CBC729}"/>
    <cellStyle name="Обычный 2 6" xfId="250" xr:uid="{D841AE39-8A76-426D-BE29-43527F30F657}"/>
    <cellStyle name="Обычный 2 7" xfId="251" xr:uid="{AC864740-ED79-44AF-879D-96B38A540419}"/>
    <cellStyle name="Обычный 2 8" xfId="252" xr:uid="{6E7B729F-3624-48BF-857A-090C1F5003AE}"/>
    <cellStyle name="Обычный 2 9" xfId="253" xr:uid="{3B3C1943-904F-49F2-B808-A1CB1B312B01}"/>
    <cellStyle name="Обычный 2_2604-2010" xfId="254" xr:uid="{5BEE9758-FED2-4F5E-AE5C-808544A648D3}"/>
    <cellStyle name="Обычный 3" xfId="255" xr:uid="{9000723D-2E39-4BE2-BD04-E58B55F20495}"/>
    <cellStyle name="Обычный 3 10" xfId="256" xr:uid="{58DB119A-87AD-4CA2-94DA-A4131C06B77A}"/>
    <cellStyle name="Обычный 3 11" xfId="257" xr:uid="{8D6C30A3-B77A-47A3-BB99-96BD44B72314}"/>
    <cellStyle name="Обычный 3 12" xfId="258" xr:uid="{70961CB1-3F7E-439B-B2FB-831A4F9860F9}"/>
    <cellStyle name="Обычный 3 13" xfId="259" xr:uid="{E942E931-3DE9-4D3E-9B25-2AD9161D5D1F}"/>
    <cellStyle name="Обычный 3 14" xfId="260" xr:uid="{F3DA201A-BD1D-4CD6-A05F-8B91A8D9AA37}"/>
    <cellStyle name="Обычный 3 2" xfId="261" xr:uid="{6D997AB4-B65C-489B-B851-FFA94737E680}"/>
    <cellStyle name="Обычный 3 3" xfId="262" xr:uid="{1A344D4C-728A-4DB9-AEBA-0C5634F874B5}"/>
    <cellStyle name="Обычный 3 4" xfId="263" xr:uid="{75645A30-33DA-4C64-B077-D8F6DA0BF226}"/>
    <cellStyle name="Обычный 3 5" xfId="264" xr:uid="{60F8B7F2-FEE1-40D3-A0E2-CFDEC74082EE}"/>
    <cellStyle name="Обычный 3 6" xfId="265" xr:uid="{19B5AF6E-9932-496A-8C2F-A06470FADA98}"/>
    <cellStyle name="Обычный 3 7" xfId="266" xr:uid="{80890734-F8D3-40CA-9879-D7D1E5451EAF}"/>
    <cellStyle name="Обычный 3 8" xfId="267" xr:uid="{76BE75B0-1C58-4B29-ABA3-9C08D7FEFF25}"/>
    <cellStyle name="Обычный 3 9" xfId="268" xr:uid="{4D0E80A0-EA7D-443F-B63C-DABE8792C5FC}"/>
    <cellStyle name="Обычный 3_Дефицит_7 млрд_0608_бс" xfId="269" xr:uid="{92888FF2-D058-416F-AABB-1C0467FC52FB}"/>
    <cellStyle name="Обычный 4" xfId="270" xr:uid="{3817298C-B031-4E7B-B954-417B0F8C011A}"/>
    <cellStyle name="Обычный 5" xfId="271" xr:uid="{783701A2-307C-400C-A6E9-976AFC8E1ACA}"/>
    <cellStyle name="Обычный 5 2" xfId="272" xr:uid="{B8C89736-7A42-4670-AA4D-FA4366DE757C}"/>
    <cellStyle name="Обычный 6" xfId="273" xr:uid="{A3E3A808-9475-4484-BF4D-36370F49FB4B}"/>
    <cellStyle name="Обычный 6 2" xfId="274" xr:uid="{B91D86F0-A6D8-4876-99A6-765AE05A9F06}"/>
    <cellStyle name="Обычный 6 3" xfId="275" xr:uid="{9529E822-A961-4E67-B18D-1DF2A6536626}"/>
    <cellStyle name="Обычный 6 4" xfId="276" xr:uid="{41A88420-AD60-473E-99FD-0B7E33A09233}"/>
    <cellStyle name="Обычный 6_Дефицит_7 млрд_0608_бс" xfId="277" xr:uid="{BFDD9A6F-AAD3-4F6B-8A96-634827582C07}"/>
    <cellStyle name="Обычный 7" xfId="278" xr:uid="{E95384E2-AFC9-480A-A89B-1E67A187B685}"/>
    <cellStyle name="Обычный 7 2" xfId="279" xr:uid="{B1CEDB8F-92D9-4609-95FF-209732B01850}"/>
    <cellStyle name="Обычный 8" xfId="280" xr:uid="{0B1564DB-048C-4714-BA74-63DD91FB542D}"/>
    <cellStyle name="Обычный 9" xfId="281" xr:uid="{558F5D3F-0090-4C4B-ADA0-AB853DB17099}"/>
    <cellStyle name="Обычный 9 2" xfId="282" xr:uid="{5A55CB51-0958-4634-A945-EE1173A8E0E3}"/>
    <cellStyle name="Плохой 2" xfId="283" xr:uid="{4C74E1DC-3E61-4418-AF72-7C1A38995EDA}"/>
    <cellStyle name="Плохой 3" xfId="284" xr:uid="{FB706846-5C45-46C4-B5E2-3EEE62510E29}"/>
    <cellStyle name="Пояснение 2" xfId="285" xr:uid="{0F78A438-53DC-4724-8985-D0A42C260E9F}"/>
    <cellStyle name="Пояснение 3" xfId="286" xr:uid="{A8807586-344F-4328-8444-C6580A97A68E}"/>
    <cellStyle name="Примечание 2" xfId="287" xr:uid="{EB400238-1DBE-4489-8850-4C3A79FD1713}"/>
    <cellStyle name="Примечание 3" xfId="288" xr:uid="{24D485BA-65FD-471E-BD97-9E27DD56B2E5}"/>
    <cellStyle name="Процентный 2" xfId="289" xr:uid="{49C2715D-6BF1-46FB-B078-222ECEE10709}"/>
    <cellStyle name="Процентный 2 10" xfId="290" xr:uid="{6F60C27F-D584-49CF-BC7D-99AD4A5D6F68}"/>
    <cellStyle name="Процентный 2 11" xfId="291" xr:uid="{0318D626-04CC-431F-BD8C-7BD53A432587}"/>
    <cellStyle name="Процентный 2 12" xfId="292" xr:uid="{B98C41AD-C877-4DA2-89A4-AD661D7ECC14}"/>
    <cellStyle name="Процентный 2 13" xfId="293" xr:uid="{044D593F-ADA3-42C5-939D-1AA867A2A06F}"/>
    <cellStyle name="Процентный 2 14" xfId="294" xr:uid="{14B06B5B-78A0-42A9-BE0F-303105AFCC0B}"/>
    <cellStyle name="Процентный 2 15" xfId="295" xr:uid="{BEB8F7D3-D521-4927-8097-24DA93B224D1}"/>
    <cellStyle name="Процентный 2 16" xfId="296" xr:uid="{7328EBD3-BAA7-488C-8493-DC076AD2D3DF}"/>
    <cellStyle name="Процентный 2 2" xfId="297" xr:uid="{49967112-3DE0-49E7-8625-3DE5DB5C4601}"/>
    <cellStyle name="Процентный 2 3" xfId="298" xr:uid="{EB407191-09F2-4759-9F55-A19FE66247CC}"/>
    <cellStyle name="Процентный 2 4" xfId="299" xr:uid="{F5F96150-79F0-4C0B-ACB6-B3BDA114B558}"/>
    <cellStyle name="Процентный 2 5" xfId="300" xr:uid="{C55DED40-6455-4BAD-8EA6-704BBBEFB849}"/>
    <cellStyle name="Процентный 2 6" xfId="301" xr:uid="{9ED00296-2821-4FF8-B383-0340E5F7903B}"/>
    <cellStyle name="Процентный 2 7" xfId="302" xr:uid="{3639535B-AA3A-4152-94F1-7ECFAA5318E0}"/>
    <cellStyle name="Процентный 2 8" xfId="303" xr:uid="{4F1033D8-2DE0-44B4-8760-FFB059BC4FE9}"/>
    <cellStyle name="Процентный 2 9" xfId="304" xr:uid="{F15D966A-B231-43C9-A684-12F7D47BC37A}"/>
    <cellStyle name="Процентный 3" xfId="305" xr:uid="{005E0309-B802-40CA-A5FA-04AE2E28EA85}"/>
    <cellStyle name="Процентный 4" xfId="306" xr:uid="{E5A9CBB4-1077-41FD-B53E-F9C3C0E25721}"/>
    <cellStyle name="Процентный 4 2" xfId="307" xr:uid="{2B9A2CB3-8FE4-4322-8304-DA943E69194F}"/>
    <cellStyle name="Связанная ячейка 2" xfId="308" xr:uid="{CCF8B442-5E18-43BD-8F11-E6512C79D4AE}"/>
    <cellStyle name="Связанная ячейка 3" xfId="309" xr:uid="{AE9D3D3E-1F3E-41C8-8405-1E08413B75F2}"/>
    <cellStyle name="Стиль 1" xfId="310" xr:uid="{45BFB8F6-36A3-4032-A879-8A4C3AA43C0B}"/>
    <cellStyle name="Стиль 1 2" xfId="311" xr:uid="{4943004B-75DF-4153-8B2E-C4A63F71C203}"/>
    <cellStyle name="Стиль 1 3" xfId="312" xr:uid="{BFE01308-6A2A-49CE-A5CC-E121ABA79085}"/>
    <cellStyle name="Стиль 1 4" xfId="313" xr:uid="{5C20D8E6-4AD0-4F46-AF74-40B8E9D8AEA2}"/>
    <cellStyle name="Стиль 1 5" xfId="314" xr:uid="{B6F6B69E-A595-48CD-9231-667B186EF6D1}"/>
    <cellStyle name="Стиль 1 6" xfId="315" xr:uid="{14B41B77-9577-47FC-9964-9AF74C3F3AB4}"/>
    <cellStyle name="Стиль 1 7" xfId="316" xr:uid="{A205BBAD-DF08-470A-B205-14EB2CBCF08C}"/>
    <cellStyle name="Текст предупреждения 2" xfId="317" xr:uid="{27E7140B-2E31-4864-9C28-0ACC13D6A0B5}"/>
    <cellStyle name="Текст предупреждения 3" xfId="318" xr:uid="{D0A9951C-BBCE-45B5-B1C3-6277D04CC1C8}"/>
    <cellStyle name="Тысячи [0]_1.62" xfId="319" xr:uid="{E4B7F96A-C9AE-4AC2-969C-2A8C69457DD1}"/>
    <cellStyle name="Тысячи_1.62" xfId="320" xr:uid="{C7DDA2F7-3DB3-49AD-B1B7-7D21A1393D9C}"/>
    <cellStyle name="Финансовый 2" xfId="321" xr:uid="{1C23458B-3937-4716-959B-05A9882FCC6A}"/>
    <cellStyle name="Финансовый 2 10" xfId="322" xr:uid="{8A29F233-6F40-4001-8BE7-9844D83E5BF8}"/>
    <cellStyle name="Финансовый 2 11" xfId="323" xr:uid="{5B200083-25CD-40F6-AB4B-28749C29FF1F}"/>
    <cellStyle name="Финансовый 2 12" xfId="324" xr:uid="{99855983-E1DD-4FC1-AF4C-56A709292BD9}"/>
    <cellStyle name="Финансовый 2 13" xfId="325" xr:uid="{CB693E8D-7F29-4A83-BFF5-A8944D3A460A}"/>
    <cellStyle name="Финансовый 2 14" xfId="326" xr:uid="{016EA92E-8B75-4333-B734-6E72C2E35974}"/>
    <cellStyle name="Финансовый 2 15" xfId="327" xr:uid="{B22C5C93-DC10-4B8A-8179-518E0860BB82}"/>
    <cellStyle name="Финансовый 2 16" xfId="328" xr:uid="{98544425-380B-43C2-819F-7B96BD9E646B}"/>
    <cellStyle name="Финансовый 2 17" xfId="329" xr:uid="{1E1AF600-BD09-48A0-B81A-AF3531B8C893}"/>
    <cellStyle name="Финансовый 2 2" xfId="330" xr:uid="{69F61224-F7A5-4C23-9037-307F0539F7B6}"/>
    <cellStyle name="Финансовый 2 3" xfId="331" xr:uid="{DF2098C7-3BFD-4BDD-A487-7D4245F4C19B}"/>
    <cellStyle name="Финансовый 2 4" xfId="332" xr:uid="{A466435A-F887-4752-92D6-6C95AD3DA117}"/>
    <cellStyle name="Финансовый 2 5" xfId="333" xr:uid="{42D5255C-419B-435E-873B-B9C08D26000A}"/>
    <cellStyle name="Финансовый 2 6" xfId="334" xr:uid="{0A103AC1-2271-477E-9B77-F97981B14E85}"/>
    <cellStyle name="Финансовый 2 7" xfId="335" xr:uid="{D9990A42-E478-47F5-9A11-25013E2A2F49}"/>
    <cellStyle name="Финансовый 2 8" xfId="336" xr:uid="{8A28CEE4-48EE-48CB-9E2E-E9CA5CC3F8B0}"/>
    <cellStyle name="Финансовый 2 9" xfId="337" xr:uid="{3CC59E14-2583-41A1-9BE6-09E6383C19A1}"/>
    <cellStyle name="Финансовый 3" xfId="338" xr:uid="{2562FDAA-9A20-42FE-B971-B8426F504673}"/>
    <cellStyle name="Финансовый 3 2" xfId="339" xr:uid="{A85A164C-5740-4B78-B102-202CA689EFE0}"/>
    <cellStyle name="Финансовый 4" xfId="340" xr:uid="{226AB9AA-0EEB-4EC9-AB0B-03B69DAEA269}"/>
    <cellStyle name="Финансовый 4 2" xfId="341" xr:uid="{6B1115F7-0AE6-44D0-81DD-2D07E435A6FC}"/>
    <cellStyle name="Финансовый 4 3" xfId="342" xr:uid="{B892D17F-CC90-4A79-9B96-99BC8F221CD6}"/>
    <cellStyle name="Финансовый 5" xfId="343" xr:uid="{FDE60C72-AB8A-432D-860C-7ED48B8CA5F6}"/>
    <cellStyle name="Финансовый 6" xfId="344" xr:uid="{621DD34A-3DE6-4A26-A40C-843132843168}"/>
    <cellStyle name="Финансовый 7" xfId="345" xr:uid="{9FD11222-6754-4FB2-AADD-33EC82873B7C}"/>
    <cellStyle name="Хороший 2" xfId="346" xr:uid="{F0FD7992-9BC8-4B06-BC4D-6803E4B2851E}"/>
    <cellStyle name="Хороший 3" xfId="347" xr:uid="{A4434838-9731-40F4-8DD1-C200332443A5}"/>
    <cellStyle name="числовой" xfId="348" xr:uid="{8E544DC4-E50A-451C-8673-942625353856}"/>
    <cellStyle name="Ю" xfId="349" xr:uid="{372B68AF-7B32-4C25-9209-6628B47372C9}"/>
    <cellStyle name="Ю-FreeSet_10" xfId="350" xr:uid="{2BCEA7AC-19FB-484B-AAF7-EFF668EB2F7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2258-63FE-4B0C-BFF7-A940AAAA3956}">
  <dimension ref="A1:J289"/>
  <sheetViews>
    <sheetView tabSelected="1" topLeftCell="A109" zoomScale="70" zoomScaleNormal="70" zoomScaleSheetLayoutView="65" workbookViewId="0">
      <selection activeCell="G12" sqref="G12:J12"/>
    </sheetView>
  </sheetViews>
  <sheetFormatPr defaultColWidth="9.109375" defaultRowHeight="18"/>
  <cols>
    <col min="1" max="1" width="83.33203125" style="2" customWidth="1"/>
    <col min="2" max="2" width="10.88671875" style="188" customWidth="1"/>
    <col min="3" max="5" width="23" style="188" customWidth="1"/>
    <col min="6" max="6" width="23" style="2" customWidth="1"/>
    <col min="7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18" customHeight="1">
      <c r="G1" s="198"/>
    </row>
    <row r="2" spans="1:10" ht="18" customHeight="1">
      <c r="G2" s="205"/>
      <c r="H2" s="21"/>
      <c r="I2" s="21"/>
    </row>
    <row r="3" spans="1:10" ht="18" customHeight="1">
      <c r="A3" s="234"/>
      <c r="B3" s="234"/>
      <c r="D3" s="2"/>
      <c r="E3" s="2"/>
      <c r="G3" s="198"/>
      <c r="H3" s="21"/>
      <c r="I3" s="21"/>
      <c r="J3" s="21"/>
    </row>
    <row r="4" spans="1:10" ht="18" customHeight="1">
      <c r="A4" s="235"/>
      <c r="B4" s="235"/>
      <c r="D4" s="2"/>
      <c r="E4" s="2"/>
      <c r="G4" s="235"/>
      <c r="H4" s="235"/>
      <c r="I4" s="235"/>
      <c r="J4" s="235"/>
    </row>
    <row r="5" spans="1:10" ht="18" customHeight="1">
      <c r="A5" s="239"/>
      <c r="B5" s="239"/>
      <c r="C5" s="239"/>
      <c r="D5" s="239"/>
      <c r="E5" s="239"/>
      <c r="F5" s="239"/>
      <c r="G5" s="239"/>
      <c r="H5" s="239"/>
      <c r="I5" s="239"/>
      <c r="J5" s="239"/>
    </row>
    <row r="6" spans="1:10" ht="18" customHeight="1">
      <c r="A6" s="234"/>
      <c r="B6" s="238"/>
      <c r="C6" s="2"/>
      <c r="D6" s="199"/>
      <c r="E6" s="199"/>
      <c r="F6" s="199"/>
      <c r="I6" s="190"/>
      <c r="J6" s="190"/>
    </row>
    <row r="7" spans="1:10" ht="18" customHeight="1">
      <c r="A7" s="21"/>
      <c r="D7" s="199"/>
      <c r="E7" s="199"/>
      <c r="F7" s="199"/>
      <c r="I7" s="21"/>
      <c r="J7" s="21"/>
    </row>
    <row r="8" spans="1:10" ht="18" customHeight="1">
      <c r="A8" s="188"/>
      <c r="D8" s="21"/>
      <c r="E8" s="13"/>
      <c r="F8" s="13"/>
    </row>
    <row r="9" spans="1:10" ht="18" customHeight="1">
      <c r="A9" s="188"/>
      <c r="D9" s="21"/>
      <c r="E9" s="13"/>
      <c r="F9" s="13"/>
    </row>
    <row r="10" spans="1:10" ht="18" customHeight="1">
      <c r="A10" s="194"/>
      <c r="B10" s="2"/>
      <c r="C10" s="2"/>
      <c r="D10" s="2"/>
      <c r="E10" s="95"/>
      <c r="F10" s="200"/>
      <c r="G10" s="237" t="s">
        <v>0</v>
      </c>
      <c r="H10" s="237"/>
      <c r="I10" s="237"/>
      <c r="J10" s="237"/>
    </row>
    <row r="11" spans="1:10" ht="18" customHeight="1">
      <c r="A11" s="194"/>
      <c r="B11" s="2"/>
      <c r="C11" s="2"/>
      <c r="D11" s="2"/>
      <c r="E11" s="95"/>
      <c r="F11" s="200"/>
      <c r="G11" s="232" t="s">
        <v>539</v>
      </c>
      <c r="H11" s="232"/>
      <c r="I11" s="232"/>
      <c r="J11" s="232"/>
    </row>
    <row r="12" spans="1:10" ht="18" customHeight="1">
      <c r="A12" s="235"/>
      <c r="B12" s="238"/>
      <c r="C12" s="190"/>
      <c r="D12" s="190"/>
      <c r="E12" s="2"/>
      <c r="F12" s="1"/>
      <c r="G12" s="235" t="s">
        <v>535</v>
      </c>
      <c r="H12" s="235"/>
      <c r="I12" s="235"/>
      <c r="J12" s="235"/>
    </row>
    <row r="13" spans="1:10" ht="18" customHeight="1">
      <c r="A13" s="236"/>
      <c r="B13" s="236"/>
      <c r="C13" s="236"/>
      <c r="D13" s="236"/>
      <c r="F13" s="199"/>
      <c r="G13" s="236"/>
      <c r="H13" s="236"/>
      <c r="I13" s="236"/>
      <c r="J13" s="236"/>
    </row>
    <row r="14" spans="1:10" ht="18" customHeight="1">
      <c r="A14" s="21"/>
      <c r="B14" s="21"/>
      <c r="C14" s="21"/>
      <c r="D14" s="21"/>
      <c r="F14" s="199"/>
      <c r="G14" s="232"/>
      <c r="H14" s="232"/>
      <c r="I14" s="232"/>
      <c r="J14" s="232"/>
    </row>
    <row r="15" spans="1:10" ht="18" customHeight="1">
      <c r="A15" s="235"/>
      <c r="B15" s="238"/>
      <c r="C15" s="235"/>
      <c r="D15" s="238"/>
      <c r="F15" s="199"/>
      <c r="G15" s="231"/>
      <c r="H15" s="231"/>
      <c r="I15" s="231"/>
      <c r="J15" s="231"/>
    </row>
    <row r="16" spans="1:10" ht="18" customHeight="1">
      <c r="A16" s="190"/>
      <c r="B16" s="197"/>
      <c r="C16" s="190"/>
      <c r="D16" s="197"/>
      <c r="F16" s="199"/>
      <c r="G16" s="235"/>
      <c r="H16" s="235"/>
      <c r="I16" s="235"/>
      <c r="J16" s="235"/>
    </row>
    <row r="17" spans="1:10" ht="18" customHeight="1">
      <c r="A17" s="190"/>
      <c r="B17" s="197"/>
      <c r="C17" s="190"/>
      <c r="D17" s="197"/>
      <c r="F17" s="199"/>
      <c r="G17" s="231"/>
      <c r="H17" s="231"/>
      <c r="I17" s="231"/>
      <c r="J17" s="231"/>
    </row>
    <row r="18" spans="1:10" ht="18" customHeight="1">
      <c r="A18" s="190"/>
      <c r="B18" s="197"/>
      <c r="C18" s="190"/>
      <c r="D18" s="197"/>
      <c r="F18" s="199"/>
      <c r="G18" s="189"/>
      <c r="H18" s="189"/>
      <c r="I18" s="189"/>
      <c r="J18" s="189"/>
    </row>
    <row r="19" spans="1:10" ht="43.5" customHeight="1">
      <c r="A19" s="235"/>
      <c r="B19" s="235"/>
      <c r="C19" s="235"/>
      <c r="D19" s="235"/>
      <c r="E19" s="199"/>
      <c r="F19" s="199"/>
      <c r="G19" s="268" t="s">
        <v>1</v>
      </c>
      <c r="H19" s="269"/>
      <c r="I19" s="255" t="s">
        <v>2</v>
      </c>
      <c r="J19" s="255"/>
    </row>
    <row r="20" spans="1:10" ht="28.5" customHeight="1">
      <c r="A20" s="270" t="s">
        <v>3</v>
      </c>
      <c r="B20" s="267" t="s">
        <v>382</v>
      </c>
      <c r="C20" s="267"/>
      <c r="D20" s="267"/>
      <c r="E20" s="267"/>
      <c r="F20" s="267"/>
      <c r="G20" s="245" t="s">
        <v>4</v>
      </c>
      <c r="H20" s="247" t="s">
        <v>394</v>
      </c>
      <c r="I20" s="244" t="s">
        <v>383</v>
      </c>
      <c r="J20" s="243"/>
    </row>
    <row r="21" spans="1:10" ht="28.5" customHeight="1">
      <c r="A21" s="270"/>
      <c r="B21" s="267"/>
      <c r="C21" s="267"/>
      <c r="D21" s="267"/>
      <c r="E21" s="267"/>
      <c r="F21" s="267"/>
      <c r="G21" s="246"/>
      <c r="H21" s="248"/>
      <c r="I21" s="244"/>
      <c r="J21" s="244"/>
    </row>
    <row r="22" spans="1:10" ht="28.5" customHeight="1">
      <c r="A22" s="195" t="s">
        <v>5</v>
      </c>
      <c r="B22" s="240" t="s">
        <v>384</v>
      </c>
      <c r="C22" s="241"/>
      <c r="D22" s="241"/>
      <c r="E22" s="241"/>
      <c r="F22" s="242"/>
      <c r="G22" s="201" t="s">
        <v>6</v>
      </c>
      <c r="H22" s="159">
        <v>150</v>
      </c>
      <c r="I22" s="244" t="s">
        <v>383</v>
      </c>
      <c r="J22" s="243"/>
    </row>
    <row r="23" spans="1:10" ht="28.5" customHeight="1">
      <c r="A23" s="195" t="s">
        <v>7</v>
      </c>
      <c r="B23" s="240" t="s">
        <v>385</v>
      </c>
      <c r="C23" s="241"/>
      <c r="D23" s="241"/>
      <c r="E23" s="241"/>
      <c r="F23" s="242"/>
      <c r="G23" s="201" t="s">
        <v>386</v>
      </c>
      <c r="H23" s="159" t="s">
        <v>387</v>
      </c>
      <c r="I23" s="244"/>
      <c r="J23" s="244"/>
    </row>
    <row r="24" spans="1:10" ht="28.5" customHeight="1">
      <c r="A24" s="195" t="s">
        <v>8</v>
      </c>
      <c r="B24" s="240" t="s">
        <v>388</v>
      </c>
      <c r="C24" s="241"/>
      <c r="D24" s="241"/>
      <c r="E24" s="241"/>
      <c r="F24" s="242"/>
      <c r="G24" s="201" t="s">
        <v>9</v>
      </c>
      <c r="H24" s="159" t="s">
        <v>389</v>
      </c>
      <c r="I24" s="244" t="s">
        <v>383</v>
      </c>
      <c r="J24" s="249"/>
    </row>
    <row r="25" spans="1:10" ht="28.5" customHeight="1">
      <c r="A25" s="195" t="s">
        <v>10</v>
      </c>
      <c r="B25" s="240" t="s">
        <v>390</v>
      </c>
      <c r="C25" s="241"/>
      <c r="D25" s="241"/>
      <c r="E25" s="241"/>
      <c r="F25" s="241"/>
      <c r="G25" s="241"/>
      <c r="H25" s="242"/>
      <c r="I25" s="244"/>
      <c r="J25" s="250"/>
    </row>
    <row r="26" spans="1:10" ht="28.5" customHeight="1">
      <c r="A26" s="195" t="s">
        <v>11</v>
      </c>
      <c r="B26" s="240"/>
      <c r="C26" s="241"/>
      <c r="D26" s="241"/>
      <c r="E26" s="241"/>
      <c r="F26" s="241"/>
      <c r="G26" s="241"/>
      <c r="H26" s="242"/>
      <c r="I26" s="244" t="s">
        <v>383</v>
      </c>
      <c r="J26" s="251"/>
    </row>
    <row r="27" spans="1:10" ht="28.5" customHeight="1">
      <c r="A27" s="195" t="s">
        <v>12</v>
      </c>
      <c r="B27" s="240"/>
      <c r="C27" s="241"/>
      <c r="D27" s="241"/>
      <c r="E27" s="241"/>
      <c r="F27" s="241"/>
      <c r="G27" s="241"/>
      <c r="H27" s="242"/>
      <c r="I27" s="244"/>
      <c r="J27" s="251"/>
    </row>
    <row r="28" spans="1:10" ht="28.5" customHeight="1">
      <c r="A28" s="195" t="s">
        <v>13</v>
      </c>
      <c r="B28" s="240" t="s">
        <v>529</v>
      </c>
      <c r="C28" s="241"/>
      <c r="D28" s="241"/>
      <c r="E28" s="241"/>
      <c r="F28" s="241"/>
      <c r="G28" s="241"/>
      <c r="H28" s="242"/>
      <c r="I28" s="244" t="s">
        <v>383</v>
      </c>
      <c r="J28" s="251"/>
    </row>
    <row r="29" spans="1:10" ht="28.5" customHeight="1">
      <c r="A29" s="195" t="s">
        <v>14</v>
      </c>
      <c r="B29" s="240" t="s">
        <v>391</v>
      </c>
      <c r="C29" s="241"/>
      <c r="D29" s="241"/>
      <c r="E29" s="241"/>
      <c r="F29" s="241"/>
      <c r="G29" s="241"/>
      <c r="H29" s="242"/>
      <c r="I29" s="244"/>
      <c r="J29" s="251"/>
    </row>
    <row r="30" spans="1:10" ht="28.5" customHeight="1">
      <c r="A30" s="195" t="s">
        <v>15</v>
      </c>
      <c r="B30" s="240" t="s">
        <v>392</v>
      </c>
      <c r="C30" s="241"/>
      <c r="D30" s="241"/>
      <c r="E30" s="241"/>
      <c r="F30" s="241"/>
      <c r="G30" s="242"/>
      <c r="H30" s="267" t="s">
        <v>16</v>
      </c>
      <c r="I30" s="267"/>
      <c r="J30" s="202"/>
    </row>
    <row r="31" spans="1:10" ht="28.5" customHeight="1">
      <c r="A31" s="195" t="s">
        <v>17</v>
      </c>
      <c r="B31" s="240" t="s">
        <v>393</v>
      </c>
      <c r="C31" s="241"/>
      <c r="D31" s="241"/>
      <c r="E31" s="241"/>
      <c r="F31" s="241"/>
      <c r="G31" s="242"/>
      <c r="H31" s="267" t="s">
        <v>18</v>
      </c>
      <c r="I31" s="267"/>
      <c r="J31" s="135">
        <v>7</v>
      </c>
    </row>
    <row r="32" spans="1:10" ht="18.75" customHeight="1">
      <c r="A32" s="196"/>
      <c r="B32" s="196"/>
      <c r="C32" s="196"/>
      <c r="D32" s="196"/>
      <c r="E32" s="196"/>
      <c r="F32" s="196"/>
      <c r="G32" s="196"/>
      <c r="H32" s="16"/>
      <c r="J32" s="188"/>
    </row>
    <row r="33" spans="1:10" ht="18.899999999999999" customHeight="1"/>
    <row r="34" spans="1:10" ht="24" customHeight="1">
      <c r="A34" s="239" t="s">
        <v>534</v>
      </c>
      <c r="B34" s="239"/>
      <c r="C34" s="239"/>
      <c r="D34" s="239"/>
      <c r="E34" s="239"/>
      <c r="F34" s="239"/>
      <c r="G34" s="239"/>
      <c r="H34" s="239"/>
      <c r="I34" s="239"/>
      <c r="J34" s="239"/>
    </row>
    <row r="35" spans="1:10" ht="18" customHeight="1">
      <c r="A35" s="239" t="s">
        <v>496</v>
      </c>
      <c r="B35" s="239"/>
      <c r="C35" s="239"/>
      <c r="D35" s="239"/>
      <c r="E35" s="239"/>
      <c r="F35" s="239"/>
      <c r="G35" s="239"/>
      <c r="H35" s="239"/>
      <c r="I35" s="239"/>
      <c r="J35" s="239"/>
    </row>
    <row r="36" spans="1:10" ht="18" customHeight="1">
      <c r="A36" s="239" t="s">
        <v>19</v>
      </c>
      <c r="B36" s="239"/>
      <c r="C36" s="239"/>
      <c r="D36" s="239"/>
      <c r="E36" s="239"/>
      <c r="F36" s="239"/>
      <c r="G36" s="239"/>
      <c r="H36" s="239"/>
      <c r="I36" s="239"/>
      <c r="J36" s="239"/>
    </row>
    <row r="37" spans="1:10" ht="13.5" customHeight="1">
      <c r="B37" s="13"/>
      <c r="C37" s="3"/>
      <c r="D37" s="13"/>
      <c r="E37" s="13"/>
      <c r="F37" s="13"/>
      <c r="G37" s="13"/>
      <c r="H37" s="13"/>
      <c r="I37" s="13"/>
      <c r="J37" s="13"/>
    </row>
    <row r="38" spans="1:10" ht="31.5" customHeight="1">
      <c r="A38" s="264" t="s">
        <v>20</v>
      </c>
      <c r="B38" s="255" t="s">
        <v>21</v>
      </c>
      <c r="C38" s="260" t="s">
        <v>497</v>
      </c>
      <c r="D38" s="260" t="s">
        <v>498</v>
      </c>
      <c r="E38" s="275" t="s">
        <v>499</v>
      </c>
      <c r="F38" s="255" t="s">
        <v>500</v>
      </c>
      <c r="G38" s="268" t="s">
        <v>22</v>
      </c>
      <c r="H38" s="274"/>
      <c r="I38" s="274"/>
      <c r="J38" s="269"/>
    </row>
    <row r="39" spans="1:10" ht="54.75" customHeight="1">
      <c r="A39" s="264"/>
      <c r="B39" s="255"/>
      <c r="C39" s="261"/>
      <c r="D39" s="261"/>
      <c r="E39" s="276"/>
      <c r="F39" s="255"/>
      <c r="G39" s="179" t="s">
        <v>397</v>
      </c>
      <c r="H39" s="179" t="s">
        <v>396</v>
      </c>
      <c r="I39" s="179" t="s">
        <v>395</v>
      </c>
      <c r="J39" s="179" t="s">
        <v>501</v>
      </c>
    </row>
    <row r="40" spans="1:10" ht="20.100000000000001" customHeight="1">
      <c r="A40" s="184">
        <v>1</v>
      </c>
      <c r="B40" s="179">
        <v>2</v>
      </c>
      <c r="C40" s="179">
        <v>3</v>
      </c>
      <c r="D40" s="179">
        <v>4</v>
      </c>
      <c r="E40" s="179">
        <v>5</v>
      </c>
      <c r="F40" s="179">
        <v>6</v>
      </c>
      <c r="G40" s="179">
        <v>7</v>
      </c>
      <c r="H40" s="179">
        <v>8</v>
      </c>
      <c r="I40" s="179">
        <v>9</v>
      </c>
      <c r="J40" s="179">
        <v>10</v>
      </c>
    </row>
    <row r="41" spans="1:10" ht="24.9" customHeight="1">
      <c r="A41" s="263" t="s">
        <v>23</v>
      </c>
      <c r="B41" s="263"/>
      <c r="C41" s="263"/>
      <c r="D41" s="263"/>
      <c r="E41" s="263"/>
      <c r="F41" s="263"/>
      <c r="G41" s="263"/>
      <c r="H41" s="263"/>
      <c r="I41" s="263"/>
      <c r="J41" s="263"/>
    </row>
    <row r="42" spans="1:10" ht="18.75" customHeight="1">
      <c r="A42" s="25" t="s">
        <v>24</v>
      </c>
      <c r="B42" s="45">
        <v>1000</v>
      </c>
      <c r="C42" s="41">
        <f>ROUNDDOWN('I. Інф. до фін.плану'!C24,0)</f>
        <v>358352</v>
      </c>
      <c r="D42" s="41">
        <f>'I. Інф. до фін.плану'!D24</f>
        <v>409769.8</v>
      </c>
      <c r="E42" s="41">
        <f>'I. Інф. до фін.плану'!E24</f>
        <v>408576.6</v>
      </c>
      <c r="F42" s="41">
        <f>'I. Інф. до фін.плану'!F24</f>
        <v>422765.5</v>
      </c>
      <c r="G42" s="47">
        <f>ROUND(F42*1.094,1)</f>
        <v>462505.5</v>
      </c>
      <c r="H42" s="47">
        <f t="shared" ref="H42:J43" si="0">ROUND(G42*1.079,1)</f>
        <v>499043.4</v>
      </c>
      <c r="I42" s="47">
        <f t="shared" si="0"/>
        <v>538467.80000000005</v>
      </c>
      <c r="J42" s="47">
        <f t="shared" si="0"/>
        <v>581006.80000000005</v>
      </c>
    </row>
    <row r="43" spans="1:10" ht="18.75" customHeight="1">
      <c r="A43" s="25" t="s">
        <v>25</v>
      </c>
      <c r="B43" s="184">
        <v>1010</v>
      </c>
      <c r="C43" s="41">
        <f>'I. Інф. до фін.плану'!C25</f>
        <v>-379841.4</v>
      </c>
      <c r="D43" s="41">
        <f>'I. Інф. до фін.плану'!D25</f>
        <v>-435203.80000000005</v>
      </c>
      <c r="E43" s="41">
        <f>'I. Інф. до фін.плану'!E25</f>
        <v>-422520.8</v>
      </c>
      <c r="F43" s="41">
        <f>'I. Інф. до фін.плану'!F25</f>
        <v>-480929.50000000006</v>
      </c>
      <c r="G43" s="47">
        <f>ROUND(F43*1.094,1)</f>
        <v>-526136.9</v>
      </c>
      <c r="H43" s="47">
        <f t="shared" si="0"/>
        <v>-567701.69999999995</v>
      </c>
      <c r="I43" s="47">
        <f t="shared" si="0"/>
        <v>-612550.1</v>
      </c>
      <c r="J43" s="47">
        <f t="shared" si="0"/>
        <v>-660941.6</v>
      </c>
    </row>
    <row r="44" spans="1:10" ht="18.75" customHeight="1">
      <c r="A44" s="26" t="s">
        <v>26</v>
      </c>
      <c r="B44" s="182">
        <v>1020</v>
      </c>
      <c r="C44" s="41">
        <f t="shared" ref="C44:J44" si="1">SUM(C42,C43)</f>
        <v>-21489.400000000023</v>
      </c>
      <c r="D44" s="41">
        <f t="shared" si="1"/>
        <v>-25434.000000000058</v>
      </c>
      <c r="E44" s="41">
        <f t="shared" si="1"/>
        <v>-13944.200000000012</v>
      </c>
      <c r="F44" s="41">
        <f t="shared" si="1"/>
        <v>-58164.000000000058</v>
      </c>
      <c r="G44" s="41">
        <f t="shared" si="1"/>
        <v>-63631.400000000023</v>
      </c>
      <c r="H44" s="41">
        <f t="shared" si="1"/>
        <v>-68658.29999999993</v>
      </c>
      <c r="I44" s="41">
        <f t="shared" si="1"/>
        <v>-74082.29999999993</v>
      </c>
      <c r="J44" s="41">
        <f t="shared" si="1"/>
        <v>-79934.79999999993</v>
      </c>
    </row>
    <row r="45" spans="1:10" ht="18.75" customHeight="1">
      <c r="A45" s="27" t="s">
        <v>27</v>
      </c>
      <c r="B45" s="182">
        <v>1300</v>
      </c>
      <c r="C45" s="41">
        <f>'I. Інф. до фін.плану'!C134</f>
        <v>-148.5000000000291</v>
      </c>
      <c r="D45" s="41">
        <f>ROUNDUP('I. Інф. до фін.плану'!D134,0)</f>
        <v>13262</v>
      </c>
      <c r="E45" s="41">
        <f>'I. Інф. до фін.плану'!E134</f>
        <v>31081.499999999993</v>
      </c>
      <c r="F45" s="41">
        <f>'I. Інф. до фін.плану'!F134</f>
        <v>-16120.300000000076</v>
      </c>
      <c r="G45" s="85" t="s">
        <v>28</v>
      </c>
      <c r="H45" s="85" t="s">
        <v>28</v>
      </c>
      <c r="I45" s="85" t="s">
        <v>28</v>
      </c>
      <c r="J45" s="85" t="s">
        <v>28</v>
      </c>
    </row>
    <row r="46" spans="1:10" ht="18.75" customHeight="1">
      <c r="A46" s="14" t="s">
        <v>29</v>
      </c>
      <c r="B46" s="46">
        <v>1200</v>
      </c>
      <c r="C46" s="41">
        <f>'I. Інф. до фін.плану'!C128</f>
        <v>-106070.80000000003</v>
      </c>
      <c r="D46" s="41">
        <f>'I. Інф. до фін.плану'!D128</f>
        <v>-69511.200000000041</v>
      </c>
      <c r="E46" s="41">
        <f>'I. Інф. до фін.плану'!E128</f>
        <v>-33563.800000000017</v>
      </c>
      <c r="F46" s="41">
        <f>'I. Інф. до фін.плану'!F128</f>
        <v>-92666.400000000081</v>
      </c>
      <c r="G46" s="41">
        <f>ROUND(F46*1.094,0)</f>
        <v>-101377</v>
      </c>
      <c r="H46" s="41">
        <f>ROUND(G46*1.079,0)</f>
        <v>-109386</v>
      </c>
      <c r="I46" s="41">
        <f>ROUND(H46*1.079,0)</f>
        <v>-118027</v>
      </c>
      <c r="J46" s="41">
        <f>ROUND(I46*1.079,0)</f>
        <v>-127351</v>
      </c>
    </row>
    <row r="47" spans="1:10" ht="24" customHeight="1">
      <c r="A47" s="265" t="s">
        <v>30</v>
      </c>
      <c r="B47" s="265"/>
      <c r="C47" s="265"/>
      <c r="D47" s="265"/>
      <c r="E47" s="265"/>
      <c r="F47" s="265"/>
      <c r="G47" s="265"/>
      <c r="H47" s="265"/>
      <c r="I47" s="265"/>
      <c r="J47" s="265"/>
    </row>
    <row r="48" spans="1:10" ht="18.75" customHeight="1">
      <c r="A48" s="49" t="s">
        <v>31</v>
      </c>
      <c r="B48" s="184">
        <v>2111</v>
      </c>
      <c r="C48" s="41">
        <f>'ІІ. Розп. ч.п. та розр. з бюд.'!F26</f>
        <v>0</v>
      </c>
      <c r="D48" s="41">
        <f>'ІІ. Розп. ч.п. та розр. з бюд.'!G26</f>
        <v>0</v>
      </c>
      <c r="E48" s="41">
        <f>'ІІ. Розп. ч.п. та розр. з бюд.'!H26</f>
        <v>0</v>
      </c>
      <c r="F48" s="41">
        <f>'ІІ. Розп. ч.п. та розр. з бюд.'!I26</f>
        <v>0</v>
      </c>
      <c r="G48" s="29" t="s">
        <v>28</v>
      </c>
      <c r="H48" s="29" t="s">
        <v>28</v>
      </c>
      <c r="I48" s="29" t="s">
        <v>28</v>
      </c>
      <c r="J48" s="29" t="s">
        <v>28</v>
      </c>
    </row>
    <row r="49" spans="1:10" ht="37.5" customHeight="1">
      <c r="A49" s="49" t="s">
        <v>32</v>
      </c>
      <c r="B49" s="184">
        <v>2112</v>
      </c>
      <c r="C49" s="41">
        <f>'ІІ. Розп. ч.п. та розр. з бюд.'!F27</f>
        <v>0</v>
      </c>
      <c r="D49" s="41">
        <f>'ІІ. Розп. ч.п. та розр. з бюд.'!G27</f>
        <v>0</v>
      </c>
      <c r="E49" s="41">
        <f>'ІІ. Розп. ч.п. та розр. з бюд.'!H27</f>
        <v>0</v>
      </c>
      <c r="F49" s="41">
        <f>'ІІ. Розп. ч.п. та розр. з бюд.'!I27</f>
        <v>0</v>
      </c>
      <c r="G49" s="29" t="s">
        <v>28</v>
      </c>
      <c r="H49" s="29" t="s">
        <v>28</v>
      </c>
      <c r="I49" s="29" t="s">
        <v>28</v>
      </c>
      <c r="J49" s="29" t="s">
        <v>28</v>
      </c>
    </row>
    <row r="50" spans="1:10" ht="37.5" customHeight="1">
      <c r="A50" s="50" t="s">
        <v>33</v>
      </c>
      <c r="B50" s="17">
        <v>2113</v>
      </c>
      <c r="C50" s="42">
        <f>'ІІ. Розп. ч.п. та розр. з бюд.'!F28</f>
        <v>0</v>
      </c>
      <c r="D50" s="42">
        <f>'ІІ. Розп. ч.п. та розр. з бюд.'!G28</f>
        <v>0</v>
      </c>
      <c r="E50" s="42">
        <f>'ІІ. Розп. ч.п. та розр. з бюд.'!H28</f>
        <v>0</v>
      </c>
      <c r="F50" s="42">
        <f>'ІІ. Розп. ч.п. та розр. з бюд.'!I28</f>
        <v>0</v>
      </c>
      <c r="G50" s="29" t="s">
        <v>28</v>
      </c>
      <c r="H50" s="29" t="s">
        <v>28</v>
      </c>
      <c r="I50" s="29" t="s">
        <v>28</v>
      </c>
      <c r="J50" s="29" t="s">
        <v>28</v>
      </c>
    </row>
    <row r="51" spans="1:10" ht="37.5" customHeight="1">
      <c r="A51" s="50" t="s">
        <v>34</v>
      </c>
      <c r="B51" s="17">
        <v>2131</v>
      </c>
      <c r="C51" s="41">
        <f>'ІІ. Розп. ч.п. та розр. з бюд.'!F41</f>
        <v>0</v>
      </c>
      <c r="D51" s="41">
        <f>'ІІ. Розп. ч.п. та розр. з бюд.'!G41</f>
        <v>0</v>
      </c>
      <c r="E51" s="41">
        <f>'ІІ. Розп. ч.п. та розр. з бюд.'!H41</f>
        <v>0</v>
      </c>
      <c r="F51" s="41">
        <f>'ІІ. Розп. ч.п. та розр. з бюд.'!I41</f>
        <v>0</v>
      </c>
      <c r="G51" s="29" t="s">
        <v>28</v>
      </c>
      <c r="H51" s="29" t="s">
        <v>28</v>
      </c>
      <c r="I51" s="29" t="s">
        <v>28</v>
      </c>
      <c r="J51" s="29" t="s">
        <v>28</v>
      </c>
    </row>
    <row r="52" spans="1:10" ht="63" customHeight="1">
      <c r="A52" s="50" t="s">
        <v>35</v>
      </c>
      <c r="B52" s="17">
        <v>2132</v>
      </c>
      <c r="C52" s="41">
        <f>'ІІ. Розп. ч.п. та розр. з бюд.'!F42</f>
        <v>0</v>
      </c>
      <c r="D52" s="41">
        <f>'ІІ. Розп. ч.п. та розр. з бюд.'!G42</f>
        <v>0</v>
      </c>
      <c r="E52" s="41">
        <f>'ІІ. Розп. ч.п. та розр. з бюд.'!H42</f>
        <v>0</v>
      </c>
      <c r="F52" s="41">
        <f>'ІІ. Розп. ч.п. та розр. з бюд.'!I42</f>
        <v>0</v>
      </c>
      <c r="G52" s="29" t="s">
        <v>28</v>
      </c>
      <c r="H52" s="29" t="s">
        <v>28</v>
      </c>
      <c r="I52" s="29" t="s">
        <v>28</v>
      </c>
      <c r="J52" s="29" t="s">
        <v>28</v>
      </c>
    </row>
    <row r="53" spans="1:10" ht="25.2" customHeight="1">
      <c r="A53" s="48" t="s">
        <v>36</v>
      </c>
      <c r="B53" s="38">
        <v>2200</v>
      </c>
      <c r="C53" s="41">
        <f>'ІІ. Розп. ч.п. та розр. з бюд.'!F49</f>
        <v>70901.3</v>
      </c>
      <c r="D53" s="41">
        <f>'ІІ. Розп. ч.п. та розр. з бюд.'!G49</f>
        <v>81417</v>
      </c>
      <c r="E53" s="41">
        <f>'ІІ. Розп. ч.п. та розр. з бюд.'!H49</f>
        <v>87373.4</v>
      </c>
      <c r="F53" s="41">
        <f>'ІІ. Розп. ч.п. та розр. з бюд.'!I49</f>
        <v>93672.9</v>
      </c>
      <c r="G53" s="171">
        <f>ROUND(F53*1.094,1)</f>
        <v>102478.2</v>
      </c>
      <c r="H53" s="171">
        <f>ROUND(G53*1.078,1)</f>
        <v>110471.5</v>
      </c>
      <c r="I53" s="171">
        <f>ROUND(H53*1.078,1)</f>
        <v>119088.3</v>
      </c>
      <c r="J53" s="171">
        <f>ROUND(I53*1.078,1)</f>
        <v>128377.2</v>
      </c>
    </row>
    <row r="54" spans="1:10" ht="24.9" customHeight="1">
      <c r="A54" s="271" t="s">
        <v>37</v>
      </c>
      <c r="B54" s="272"/>
      <c r="C54" s="272"/>
      <c r="D54" s="272"/>
      <c r="E54" s="272"/>
      <c r="F54" s="272"/>
      <c r="G54" s="272"/>
      <c r="H54" s="272"/>
      <c r="I54" s="272"/>
      <c r="J54" s="273"/>
    </row>
    <row r="55" spans="1:10" s="185" customFormat="1" ht="20.100000000000001" customHeight="1">
      <c r="A55" s="23" t="s">
        <v>38</v>
      </c>
      <c r="B55" s="8">
        <v>4000</v>
      </c>
      <c r="C55" s="41">
        <f>'ІV кап. інвеат. V кред. '!F7</f>
        <v>258384.09999999998</v>
      </c>
      <c r="D55" s="41">
        <f>'ІV кап. інвеат. V кред. '!G7</f>
        <v>183539.80000000002</v>
      </c>
      <c r="E55" s="41">
        <f>'ІV кап. інвеат. V кред. '!H7</f>
        <v>179216.40000000002</v>
      </c>
      <c r="F55" s="41">
        <f>'ІV кап. інвеат. V кред. '!I7</f>
        <v>136933.20000000001</v>
      </c>
      <c r="G55" s="171">
        <f>ROUND(F55*1.094,1)</f>
        <v>149804.9</v>
      </c>
      <c r="H55" s="171">
        <f>ROUND(G55*1.079,1)</f>
        <v>161639.5</v>
      </c>
      <c r="I55" s="171">
        <f>ROUND(H55*1.079,1)</f>
        <v>174409</v>
      </c>
      <c r="J55" s="171">
        <f>ROUND(I55*1.079,1)</f>
        <v>188187.3</v>
      </c>
    </row>
    <row r="56" spans="1:10" ht="24.9" customHeight="1">
      <c r="A56" s="256" t="s">
        <v>39</v>
      </c>
      <c r="B56" s="257"/>
      <c r="C56" s="257"/>
      <c r="D56" s="257"/>
      <c r="E56" s="257"/>
      <c r="F56" s="257"/>
      <c r="G56" s="257"/>
      <c r="H56" s="257"/>
      <c r="I56" s="257"/>
      <c r="J56" s="258"/>
    </row>
    <row r="57" spans="1:10" ht="19.5" customHeight="1">
      <c r="A57" s="105" t="s">
        <v>40</v>
      </c>
      <c r="B57" s="104"/>
      <c r="C57" s="180"/>
      <c r="D57" s="180"/>
      <c r="E57" s="180"/>
      <c r="F57" s="180"/>
      <c r="G57" s="180"/>
      <c r="H57" s="180"/>
      <c r="I57" s="180"/>
      <c r="J57" s="181"/>
    </row>
    <row r="58" spans="1:10" ht="56.25" customHeight="1">
      <c r="A58" s="35" t="s">
        <v>41</v>
      </c>
      <c r="B58" s="187">
        <v>5010</v>
      </c>
      <c r="C58" s="107">
        <f t="shared" ref="C58:J58" si="2">C46/C42</f>
        <v>-0.29599611555118999</v>
      </c>
      <c r="D58" s="107">
        <f t="shared" si="2"/>
        <v>-0.16963475590441277</v>
      </c>
      <c r="E58" s="107">
        <f t="shared" si="2"/>
        <v>-8.2148121062243951E-2</v>
      </c>
      <c r="F58" s="107">
        <f t="shared" si="2"/>
        <v>-0.21919101724241946</v>
      </c>
      <c r="G58" s="170">
        <f>G46/G42</f>
        <v>-0.21919090691894474</v>
      </c>
      <c r="H58" s="107">
        <f t="shared" si="2"/>
        <v>-0.21919135690402877</v>
      </c>
      <c r="I58" s="107">
        <f t="shared" si="2"/>
        <v>-0.21919045112818258</v>
      </c>
      <c r="J58" s="107">
        <f t="shared" si="2"/>
        <v>-0.21919020569122424</v>
      </c>
    </row>
    <row r="59" spans="1:10" ht="90">
      <c r="A59" s="35" t="s">
        <v>42</v>
      </c>
      <c r="B59" s="187">
        <v>5011</v>
      </c>
      <c r="C59" s="107">
        <f>'I. Інф. до фін.плану'!C108/ABS('I. Інф. до фін.плану'!C25+'I. Інф. до фін.плану'!C45+'I. Інф. до фін.плану'!C68+'I. Інф. до фін.плану'!C95)</f>
        <v>-0.13496766412132996</v>
      </c>
      <c r="D59" s="107">
        <f>'I. Інф. до фін.плану'!D108/ABS('I. Інф. до фін.плану'!D25+'I. Інф. до фін.плану'!D45+'I. Інф. до фін.плану'!D68+'I. Інф. до фін.плану'!D95)</f>
        <v>-0.10872928572988796</v>
      </c>
      <c r="E59" s="107">
        <f>'I. Інф. до фін.плану'!E108/ABS('I. Інф. до фін.плану'!E25+'I. Інф. до фін.плану'!E45+'I. Інф. до фін.плану'!E68+'I. Інф. до фін.плану'!E95)</f>
        <v>-7.3194543528726758E-2</v>
      </c>
      <c r="F59" s="107">
        <f>'I. Інф. до фін.плану'!F108/ABS('I. Інф. до фін.плану'!F25+'I. Інф. до фін.плану'!F45+'I. Інф. до фін.плану'!F68+'I. Інф. до фін.плану'!F95)</f>
        <v>-0.16121188358029445</v>
      </c>
      <c r="G59" s="108"/>
      <c r="H59" s="108"/>
      <c r="I59" s="109" t="s">
        <v>28</v>
      </c>
      <c r="J59" s="109" t="s">
        <v>28</v>
      </c>
    </row>
    <row r="60" spans="1:10" ht="234.75" customHeight="1">
      <c r="A60" s="35" t="s">
        <v>43</v>
      </c>
      <c r="B60" s="187">
        <v>5012</v>
      </c>
      <c r="C60" s="107">
        <f>((('I. Інф. до фін.плану'!C25+'I. Інф. до фін.плану'!C45+'I. Інф. до фін.плану'!C68+'I. Інф. до фін.плану'!C95)-(310992.7+10881.1+21570.2+5971.7))/(310992.7+10881.1+21570.2+5971.7))-(C77/100-1)</f>
        <v>-2.4402446255277024</v>
      </c>
      <c r="D60" s="107">
        <f>((('I. Інф. до фін.плану'!D25+'I. Інф. до фін.плану'!D45+'I. Інф. до фін.плану'!D68+'I. Інф. до фін.плану'!D95)-('I. Інф. до фін.плану'!C25+'I. Інф. до фін.плану'!C45+'I. Інф. до фін.плану'!C68+'I. Інф. до фін.плану'!C95))/('I. Інф. до фін.плану'!C25+'I. Інф. до фін.плану'!C45+'I. Інф. до фін.плану'!C68+'I. Інф. до фін.плану'!C95))-(D77/100-1)</f>
        <v>-4.3045822131640384E-2</v>
      </c>
      <c r="E60" s="107">
        <f>((('I. Інф. до фін.плану'!E25+'I. Інф. до фін.плану'!E45+'I. Інф. до фін.плану'!E68+'I. Інф. до фін.плану'!E95)-('I. Інф. до фін.плану'!C25+'I. Інф. до фін.плану'!C45+'I. Інф. до фін.плану'!C68+'I. Інф. до фін.плану'!C95))/('I. Інф. до фін.плану'!C25+'I. Інф. до фін.плану'!C45+'I. Інф. до фін.плану'!C68+'I. Інф. до фін.плану'!C95))-((E77-100)/100-1)</f>
        <v>0.9341330750278225</v>
      </c>
      <c r="F60" s="107">
        <f>((('I. Інф. до фін.плану'!F25+'I. Інф. до фін.плану'!F45+'I. Інф. до фін.плану'!F68+'I. Інф. до фін.плану'!F95)-('I. Інф. до фін.плану'!D25+'I. Інф. до фін.плану'!D45+'I. Інф. до фін.плану'!D68+'I. Інф. до фін.плану'!D95))/('I. Інф. до фін.плану'!D25+'I. Інф. до фін.плану'!D45+'I. Інф. до фін.плану'!D68+'I. Інф. до фін.плану'!D95))-((F77-100)/100-1)</f>
        <v>1.0036134527307248</v>
      </c>
      <c r="G60" s="108"/>
      <c r="H60" s="108"/>
      <c r="I60" s="109" t="s">
        <v>28</v>
      </c>
      <c r="J60" s="109" t="s">
        <v>28</v>
      </c>
    </row>
    <row r="61" spans="1:10" ht="54">
      <c r="A61" s="24" t="s">
        <v>44</v>
      </c>
      <c r="B61" s="187">
        <v>5013</v>
      </c>
      <c r="C61" s="107">
        <f>C45/C42</f>
        <v>-4.1439701745777643E-4</v>
      </c>
      <c r="D61" s="107">
        <f>D45/D42</f>
        <v>3.2364512953370408E-2</v>
      </c>
      <c r="E61" s="107">
        <f>E45/E42</f>
        <v>7.6072638521148775E-2</v>
      </c>
      <c r="F61" s="107">
        <f>F45/F42</f>
        <v>-3.8130594856959889E-2</v>
      </c>
      <c r="G61" s="108"/>
      <c r="H61" s="108"/>
      <c r="I61" s="109" t="s">
        <v>28</v>
      </c>
      <c r="J61" s="109" t="s">
        <v>28</v>
      </c>
    </row>
    <row r="62" spans="1:10" ht="45.75" customHeight="1">
      <c r="A62" s="24" t="s">
        <v>45</v>
      </c>
      <c r="B62" s="187">
        <v>5014</v>
      </c>
      <c r="C62" s="107">
        <f>IF(AND(C46&lt;0,C99&lt;0),C46/C99*-1,C46/C99)</f>
        <v>-0.39643150797566201</v>
      </c>
      <c r="D62" s="107">
        <f>IF(AND(D46&lt;0,D99&lt;0),D46/D99*-1,D46/D99)</f>
        <v>-0.26591482915334136</v>
      </c>
      <c r="E62" s="107">
        <f>IF(AND(E46&lt;0,E99&lt;0),E46/E99*-1,E46/E99)</f>
        <v>-7.2500307810613354E-2</v>
      </c>
      <c r="F62" s="107">
        <f>IF(AND(F46&lt;0,F99&lt;0),F46/F99*-1,F46/F99)</f>
        <v>-0.16965436180788618</v>
      </c>
      <c r="G62" s="110"/>
      <c r="H62" s="110"/>
      <c r="I62" s="111" t="s">
        <v>28</v>
      </c>
      <c r="J62" s="111" t="s">
        <v>28</v>
      </c>
    </row>
    <row r="63" spans="1:10" ht="45.75" customHeight="1">
      <c r="A63" s="35" t="s">
        <v>46</v>
      </c>
      <c r="B63" s="187">
        <v>5015</v>
      </c>
      <c r="C63" s="107">
        <f>(C46/C89)</f>
        <v>-7.4878773824323189E-2</v>
      </c>
      <c r="D63" s="107">
        <f>(D46/D89)</f>
        <v>-5.2686183436617018E-2</v>
      </c>
      <c r="E63" s="107">
        <f>(E46/E89)</f>
        <v>-2.0584658315573216E-2</v>
      </c>
      <c r="F63" s="107">
        <f>(F46/F89)</f>
        <v>-5.4763459587109951E-2</v>
      </c>
      <c r="G63" s="110"/>
      <c r="H63" s="110"/>
      <c r="I63" s="111" t="s">
        <v>28</v>
      </c>
      <c r="J63" s="111" t="s">
        <v>28</v>
      </c>
    </row>
    <row r="64" spans="1:10" ht="131.25" customHeight="1">
      <c r="A64" s="35" t="s">
        <v>47</v>
      </c>
      <c r="B64" s="187">
        <v>5016</v>
      </c>
      <c r="C64" s="107">
        <f>((C42-305239)/305239)-((C77)/100-1)</f>
        <v>5.4004632435566774E-2</v>
      </c>
      <c r="D64" s="107">
        <f>((D42-C42)/C42)-((D77)/100-1)</f>
        <v>4.8484060365227483E-2</v>
      </c>
      <c r="E64" s="107">
        <f>((E42-C42)/C42)-((E77-100)/100-1)</f>
        <v>1.031154373353574</v>
      </c>
      <c r="F64" s="107">
        <f>((F42-D42)/D42)-((F77-100)/100-1)</f>
        <v>0.93271463587604542</v>
      </c>
      <c r="G64" s="107">
        <f>((G42-F42)/F42)-((G77-100)/100-1)</f>
        <v>1.0000001017112323</v>
      </c>
      <c r="H64" s="107">
        <f>((H42-G42)/G42)-((H77-100)/100-1)</f>
        <v>1.0039999254062926</v>
      </c>
      <c r="I64" s="110"/>
      <c r="J64" s="110"/>
    </row>
    <row r="65" spans="1:10">
      <c r="A65" s="34" t="s">
        <v>48</v>
      </c>
      <c r="B65" s="187"/>
      <c r="C65" s="108"/>
      <c r="D65" s="193"/>
      <c r="E65" s="108"/>
      <c r="F65" s="108"/>
      <c r="G65" s="110"/>
      <c r="H65" s="110"/>
      <c r="I65" s="110"/>
      <c r="J65" s="110"/>
    </row>
    <row r="66" spans="1:10" ht="72">
      <c r="A66" s="36" t="s">
        <v>49</v>
      </c>
      <c r="B66" s="186">
        <v>5020</v>
      </c>
      <c r="C66" s="107">
        <f>C99/(C90+C92)</f>
        <v>0.23286623272524093</v>
      </c>
      <c r="D66" s="107">
        <f>D99/(D90+D92)</f>
        <v>0.24708773654460556</v>
      </c>
      <c r="E66" s="107">
        <f>E99/(E90+E92)</f>
        <v>0.39650198958870414</v>
      </c>
      <c r="F66" s="107">
        <f>F99/(F90+F92)</f>
        <v>0.47665618885884981</v>
      </c>
      <c r="G66" s="108"/>
      <c r="H66" s="108"/>
      <c r="I66" s="109" t="s">
        <v>28</v>
      </c>
      <c r="J66" s="109" t="s">
        <v>28</v>
      </c>
    </row>
    <row r="67" spans="1:10" ht="36">
      <c r="A67" s="24" t="s">
        <v>50</v>
      </c>
      <c r="B67" s="186">
        <v>5021</v>
      </c>
      <c r="C67" s="107">
        <f>C45/ABS('I. Інф. до фін.плану'!C112)</f>
        <v>-4.8774880115624092E-3</v>
      </c>
      <c r="D67" s="107">
        <f>D45/ABS('I. Інф. до фін.плану'!D112)</f>
        <v>0.41370704849250545</v>
      </c>
      <c r="E67" s="107">
        <f>E45/ABS('I. Інф. до фін.плану'!E112)</f>
        <v>1.2224826842976764</v>
      </c>
      <c r="F67" s="107">
        <f>F45/ABS('I. Інф. до фін.плану'!F112)</f>
        <v>-0.62976071882020024</v>
      </c>
      <c r="G67" s="108"/>
      <c r="H67" s="108"/>
      <c r="I67" s="109" t="s">
        <v>28</v>
      </c>
      <c r="J67" s="109" t="s">
        <v>28</v>
      </c>
    </row>
    <row r="68" spans="1:10" ht="90">
      <c r="A68" s="24" t="s">
        <v>51</v>
      </c>
      <c r="B68" s="186">
        <v>5022</v>
      </c>
      <c r="C68" s="107">
        <f>((C93+C91)-(C88+C87))/C45</f>
        <v>-980.57912457893235</v>
      </c>
      <c r="D68" s="107">
        <f>((D93+D91)-(D88+D87))/D45</f>
        <v>16.538003317749961</v>
      </c>
      <c r="E68" s="107">
        <f>((E93+E91)-(E88+E87))/E45</f>
        <v>2.3400736772678288</v>
      </c>
      <c r="F68" s="107">
        <f>((F93+F91)-(F88+F87))/F45</f>
        <v>1.8610075494872837E-4</v>
      </c>
      <c r="G68" s="108"/>
      <c r="H68" s="108"/>
      <c r="I68" s="109" t="s">
        <v>28</v>
      </c>
      <c r="J68" s="109" t="s">
        <v>28</v>
      </c>
    </row>
    <row r="69" spans="1:10" ht="63" customHeight="1">
      <c r="A69" s="24" t="s">
        <v>52</v>
      </c>
      <c r="B69" s="186">
        <v>5023</v>
      </c>
      <c r="C69" s="107">
        <f>(C93+C91)/C99</f>
        <v>0.6039751237087202</v>
      </c>
      <c r="D69" s="107">
        <f>(D93+D91)/D99</f>
        <v>0.84044620587290175</v>
      </c>
      <c r="E69" s="107">
        <f>(E93+E91)/E99</f>
        <v>0.15726638254487016</v>
      </c>
      <c r="F69" s="107">
        <f>(F93+F91)/F99</f>
        <v>0</v>
      </c>
      <c r="G69" s="108"/>
      <c r="H69" s="108"/>
      <c r="I69" s="109" t="s">
        <v>28</v>
      </c>
      <c r="J69" s="109" t="s">
        <v>28</v>
      </c>
    </row>
    <row r="70" spans="1:10" ht="54">
      <c r="A70" s="24" t="s">
        <v>53</v>
      </c>
      <c r="B70" s="186">
        <v>5024</v>
      </c>
      <c r="C70" s="107">
        <f>(C90+C92)/C89</f>
        <v>0.81111800571381376</v>
      </c>
      <c r="D70" s="107">
        <f>(D90+D92)/D89</f>
        <v>0.80186820116664037</v>
      </c>
      <c r="E70" s="107">
        <f>(E90+E92)/E89</f>
        <v>0.71607488385642659</v>
      </c>
      <c r="F70" s="107">
        <f>(F90+F92)/F89</f>
        <v>0.67720570810243474</v>
      </c>
      <c r="G70" s="110"/>
      <c r="H70" s="110"/>
      <c r="I70" s="111" t="s">
        <v>28</v>
      </c>
      <c r="J70" s="111" t="s">
        <v>28</v>
      </c>
    </row>
    <row r="71" spans="1:10">
      <c r="A71" s="34" t="s">
        <v>54</v>
      </c>
      <c r="B71" s="186"/>
      <c r="C71" s="108"/>
      <c r="D71" s="193"/>
      <c r="E71" s="108"/>
      <c r="F71" s="108"/>
      <c r="G71" s="110"/>
      <c r="H71" s="110"/>
      <c r="I71" s="111"/>
      <c r="J71" s="111"/>
    </row>
    <row r="72" spans="1:10" ht="58.5" customHeight="1">
      <c r="A72" s="24" t="s">
        <v>55</v>
      </c>
      <c r="B72" s="186">
        <v>5030</v>
      </c>
      <c r="C72" s="107">
        <f>C83/C92</f>
        <v>0.23663942348867653</v>
      </c>
      <c r="D72" s="107">
        <f>D83/D92</f>
        <v>0.21818945319024055</v>
      </c>
      <c r="E72" s="107">
        <f>E83/E92</f>
        <v>0.22227654394959598</v>
      </c>
      <c r="F72" s="107">
        <f>F83/F92</f>
        <v>0.21931618500255418</v>
      </c>
      <c r="G72" s="110"/>
      <c r="H72" s="110"/>
      <c r="I72" s="111" t="s">
        <v>28</v>
      </c>
      <c r="J72" s="111" t="s">
        <v>28</v>
      </c>
    </row>
    <row r="73" spans="1:10" ht="54">
      <c r="A73" s="24" t="s">
        <v>56</v>
      </c>
      <c r="B73" s="186">
        <v>5031</v>
      </c>
      <c r="C73" s="107">
        <f>(C83-C84)/C92</f>
        <v>0.13560516152186591</v>
      </c>
      <c r="D73" s="107">
        <f>(D83-D84)/D92</f>
        <v>0.10843620711869098</v>
      </c>
      <c r="E73" s="107">
        <f>(E83-E84)/E92</f>
        <v>0.1075037195577517</v>
      </c>
      <c r="F73" s="107">
        <f>(F83-F84)/F92</f>
        <v>0.10531073962050848</v>
      </c>
      <c r="G73" s="110"/>
      <c r="H73" s="110"/>
      <c r="I73" s="111" t="s">
        <v>28</v>
      </c>
      <c r="J73" s="111" t="s">
        <v>28</v>
      </c>
    </row>
    <row r="74" spans="1:10" ht="54">
      <c r="A74" s="24" t="s">
        <v>57</v>
      </c>
      <c r="B74" s="186">
        <v>5032</v>
      </c>
      <c r="C74" s="107">
        <f>(C88+C87)/C92</f>
        <v>1.6299006113401768E-2</v>
      </c>
      <c r="D74" s="107">
        <f>(D88+D87)/D92</f>
        <v>4.402059543521934E-4</v>
      </c>
      <c r="E74" s="107">
        <f>(E88+E87)/E92</f>
        <v>6.7085291136378879E-5</v>
      </c>
      <c r="F74" s="107">
        <f>(F88+F87)/F92</f>
        <v>2.6331634650324667E-6</v>
      </c>
      <c r="G74" s="110"/>
      <c r="H74" s="110"/>
      <c r="I74" s="111" t="s">
        <v>28</v>
      </c>
      <c r="J74" s="111" t="s">
        <v>28</v>
      </c>
    </row>
    <row r="75" spans="1:10" ht="72">
      <c r="A75" s="24" t="s">
        <v>58</v>
      </c>
      <c r="B75" s="186">
        <v>5033</v>
      </c>
      <c r="C75" s="107">
        <f>C85*365/C42</f>
        <v>69.174931352413267</v>
      </c>
      <c r="D75" s="107">
        <f>D85*365/D42</f>
        <v>69.478033764323285</v>
      </c>
      <c r="E75" s="107">
        <f>E85*365/E42</f>
        <v>67.002686889068045</v>
      </c>
      <c r="F75" s="107">
        <f>F85*365/F42</f>
        <v>67.344024051158385</v>
      </c>
      <c r="G75" s="110"/>
      <c r="H75" s="110"/>
      <c r="I75" s="111" t="s">
        <v>28</v>
      </c>
      <c r="J75" s="111" t="s">
        <v>28</v>
      </c>
    </row>
    <row r="76" spans="1:10" ht="72">
      <c r="A76" s="24" t="s">
        <v>59</v>
      </c>
      <c r="B76" s="186">
        <v>5034</v>
      </c>
      <c r="C76" s="107">
        <f>C94*365/ABS(C43)</f>
        <v>32.870442769008328</v>
      </c>
      <c r="D76" s="107">
        <f>D94*365/ABS(D43)</f>
        <v>47.805189201013405</v>
      </c>
      <c r="E76" s="107">
        <f>E94*365/ABS(E43)</f>
        <v>49.127877254800239</v>
      </c>
      <c r="F76" s="107">
        <f>F94*365/ABS(F43)</f>
        <v>44.887920162934478</v>
      </c>
      <c r="G76" s="110"/>
      <c r="H76" s="110"/>
      <c r="I76" s="111" t="s">
        <v>28</v>
      </c>
      <c r="J76" s="111" t="s">
        <v>28</v>
      </c>
    </row>
    <row r="77" spans="1:10" ht="36">
      <c r="A77" s="24" t="s">
        <v>60</v>
      </c>
      <c r="B77" s="186">
        <v>5040</v>
      </c>
      <c r="C77" s="112">
        <v>112</v>
      </c>
      <c r="D77" s="112">
        <v>109.5</v>
      </c>
      <c r="E77" s="112">
        <v>110.9</v>
      </c>
      <c r="F77" s="112">
        <v>109.9</v>
      </c>
      <c r="G77" s="112">
        <v>109.4</v>
      </c>
      <c r="H77" s="112">
        <v>107.5</v>
      </c>
      <c r="I77" s="113" t="s">
        <v>28</v>
      </c>
      <c r="J77" s="113" t="s">
        <v>28</v>
      </c>
    </row>
    <row r="78" spans="1:10" ht="24.9" customHeight="1">
      <c r="A78" s="262" t="s">
        <v>61</v>
      </c>
      <c r="B78" s="259"/>
      <c r="C78" s="259"/>
      <c r="D78" s="259"/>
      <c r="E78" s="259"/>
      <c r="F78" s="259"/>
      <c r="G78" s="259"/>
      <c r="H78" s="259"/>
      <c r="I78" s="259"/>
      <c r="J78" s="259"/>
    </row>
    <row r="79" spans="1:10" ht="18.75" customHeight="1">
      <c r="A79" s="24" t="s">
        <v>62</v>
      </c>
      <c r="B79" s="184">
        <v>6000</v>
      </c>
      <c r="C79" s="29">
        <v>1184472</v>
      </c>
      <c r="D79" s="29">
        <v>1136448</v>
      </c>
      <c r="E79" s="29">
        <v>1388651</v>
      </c>
      <c r="F79" s="29">
        <v>1442251</v>
      </c>
      <c r="G79" s="9" t="s">
        <v>28</v>
      </c>
      <c r="H79" s="9" t="s">
        <v>28</v>
      </c>
      <c r="I79" s="9" t="s">
        <v>28</v>
      </c>
      <c r="J79" s="9" t="s">
        <v>28</v>
      </c>
    </row>
    <row r="80" spans="1:10" ht="18.75" customHeight="1">
      <c r="A80" s="24" t="s">
        <v>63</v>
      </c>
      <c r="B80" s="184">
        <v>6001</v>
      </c>
      <c r="C80" s="41">
        <f>C81-C82</f>
        <v>647414</v>
      </c>
      <c r="D80" s="41">
        <f>D81-D82</f>
        <v>696591</v>
      </c>
      <c r="E80" s="41">
        <f>E81-E82</f>
        <v>687327</v>
      </c>
      <c r="F80" s="41">
        <f>F81-F82</f>
        <v>615557</v>
      </c>
      <c r="G80" s="9" t="s">
        <v>28</v>
      </c>
      <c r="H80" s="9" t="s">
        <v>28</v>
      </c>
      <c r="I80" s="9" t="s">
        <v>28</v>
      </c>
      <c r="J80" s="9" t="s">
        <v>28</v>
      </c>
    </row>
    <row r="81" spans="1:10" ht="18.75" customHeight="1">
      <c r="A81" s="24" t="s">
        <v>64</v>
      </c>
      <c r="B81" s="184">
        <v>6002</v>
      </c>
      <c r="C81" s="29">
        <v>1067858</v>
      </c>
      <c r="D81" s="29">
        <v>1124227</v>
      </c>
      <c r="E81" s="29">
        <v>1171521</v>
      </c>
      <c r="F81" s="29">
        <v>1171521</v>
      </c>
      <c r="G81" s="9" t="s">
        <v>28</v>
      </c>
      <c r="H81" s="9" t="s">
        <v>28</v>
      </c>
      <c r="I81" s="9" t="s">
        <v>28</v>
      </c>
      <c r="J81" s="9" t="s">
        <v>28</v>
      </c>
    </row>
    <row r="82" spans="1:10" ht="18.75" customHeight="1">
      <c r="A82" s="24" t="s">
        <v>530</v>
      </c>
      <c r="B82" s="184">
        <v>6003</v>
      </c>
      <c r="C82" s="29">
        <v>420444</v>
      </c>
      <c r="D82" s="29">
        <v>427636</v>
      </c>
      <c r="E82" s="29">
        <v>484194</v>
      </c>
      <c r="F82" s="29">
        <v>555964</v>
      </c>
      <c r="G82" s="9" t="s">
        <v>28</v>
      </c>
      <c r="H82" s="9" t="s">
        <v>28</v>
      </c>
      <c r="I82" s="9" t="s">
        <v>28</v>
      </c>
      <c r="J82" s="9" t="s">
        <v>28</v>
      </c>
    </row>
    <row r="83" spans="1:10" ht="18.75" customHeight="1">
      <c r="A83" s="24" t="s">
        <v>65</v>
      </c>
      <c r="B83" s="184">
        <v>6010</v>
      </c>
      <c r="C83" s="29">
        <v>232095</v>
      </c>
      <c r="D83" s="29">
        <v>182896</v>
      </c>
      <c r="E83" s="29">
        <v>241874</v>
      </c>
      <c r="F83" s="29">
        <v>249870</v>
      </c>
      <c r="G83" s="9" t="s">
        <v>28</v>
      </c>
      <c r="H83" s="9" t="s">
        <v>28</v>
      </c>
      <c r="I83" s="9" t="s">
        <v>28</v>
      </c>
      <c r="J83" s="9" t="s">
        <v>28</v>
      </c>
    </row>
    <row r="84" spans="1:10" ht="18.75" customHeight="1">
      <c r="A84" s="24" t="s">
        <v>66</v>
      </c>
      <c r="B84" s="184">
        <v>6011</v>
      </c>
      <c r="C84" s="29">
        <v>99094</v>
      </c>
      <c r="D84" s="29">
        <v>92000</v>
      </c>
      <c r="E84" s="29">
        <v>124892</v>
      </c>
      <c r="F84" s="29">
        <v>129888</v>
      </c>
      <c r="G84" s="9" t="s">
        <v>28</v>
      </c>
      <c r="H84" s="9" t="s">
        <v>28</v>
      </c>
      <c r="I84" s="9" t="s">
        <v>28</v>
      </c>
      <c r="J84" s="9" t="s">
        <v>28</v>
      </c>
    </row>
    <row r="85" spans="1:10" ht="18.75" customHeight="1">
      <c r="A85" s="24" t="s">
        <v>67</v>
      </c>
      <c r="B85" s="184">
        <v>6012</v>
      </c>
      <c r="C85" s="29">
        <v>67915</v>
      </c>
      <c r="D85" s="29">
        <v>78000</v>
      </c>
      <c r="E85" s="29">
        <v>75002</v>
      </c>
      <c r="F85" s="29">
        <v>78002</v>
      </c>
      <c r="G85" s="9" t="s">
        <v>28</v>
      </c>
      <c r="H85" s="9" t="s">
        <v>28</v>
      </c>
      <c r="I85" s="9" t="s">
        <v>28</v>
      </c>
      <c r="J85" s="9" t="s">
        <v>28</v>
      </c>
    </row>
    <row r="86" spans="1:10" ht="18.600000000000001" customHeight="1">
      <c r="A86" s="24" t="s">
        <v>68</v>
      </c>
      <c r="B86" s="184">
        <v>6013</v>
      </c>
      <c r="C86" s="29">
        <v>4080</v>
      </c>
      <c r="D86" s="29">
        <v>0</v>
      </c>
      <c r="E86" s="29">
        <v>2847</v>
      </c>
      <c r="F86" s="29">
        <v>0</v>
      </c>
      <c r="G86" s="9" t="s">
        <v>28</v>
      </c>
      <c r="H86" s="9" t="s">
        <v>28</v>
      </c>
      <c r="I86" s="9" t="s">
        <v>28</v>
      </c>
      <c r="J86" s="9" t="s">
        <v>28</v>
      </c>
    </row>
    <row r="87" spans="1:10" ht="18.600000000000001" customHeight="1">
      <c r="A87" s="24" t="s">
        <v>69</v>
      </c>
      <c r="B87" s="184">
        <v>6014</v>
      </c>
      <c r="C87" s="29">
        <v>0</v>
      </c>
      <c r="D87" s="29">
        <v>0</v>
      </c>
      <c r="E87" s="29">
        <v>0</v>
      </c>
      <c r="F87" s="29">
        <v>0</v>
      </c>
      <c r="G87" s="9" t="s">
        <v>28</v>
      </c>
      <c r="H87" s="9" t="s">
        <v>28</v>
      </c>
      <c r="I87" s="9" t="s">
        <v>28</v>
      </c>
      <c r="J87" s="9" t="s">
        <v>28</v>
      </c>
    </row>
    <row r="88" spans="1:10" ht="18.600000000000001" customHeight="1">
      <c r="A88" s="24" t="s">
        <v>70</v>
      </c>
      <c r="B88" s="184">
        <v>6015</v>
      </c>
      <c r="C88" s="29">
        <v>15986</v>
      </c>
      <c r="D88" s="29">
        <v>369</v>
      </c>
      <c r="E88" s="29">
        <f>ROUND('ІІІ рух. гр. кшт.'!E90,0)</f>
        <v>73</v>
      </c>
      <c r="F88" s="29">
        <f>ROUND('ІІІ рух. гр. кшт.'!F90,0)</f>
        <v>3</v>
      </c>
      <c r="G88" s="9" t="s">
        <v>28</v>
      </c>
      <c r="H88" s="9" t="s">
        <v>28</v>
      </c>
      <c r="I88" s="9" t="s">
        <v>28</v>
      </c>
      <c r="J88" s="9" t="s">
        <v>28</v>
      </c>
    </row>
    <row r="89" spans="1:10" s="185" customFormat="1" ht="20.100000000000001" customHeight="1">
      <c r="A89" s="23" t="s">
        <v>71</v>
      </c>
      <c r="B89" s="182">
        <v>6020</v>
      </c>
      <c r="C89" s="40">
        <f>C79+C83</f>
        <v>1416567</v>
      </c>
      <c r="D89" s="40">
        <f t="shared" ref="D89:F89" si="3">D79+D83</f>
        <v>1319344</v>
      </c>
      <c r="E89" s="40">
        <f t="shared" si="3"/>
        <v>1630525</v>
      </c>
      <c r="F89" s="40">
        <f t="shared" si="3"/>
        <v>1692121</v>
      </c>
      <c r="G89" s="39" t="s">
        <v>28</v>
      </c>
      <c r="H89" s="39" t="s">
        <v>28</v>
      </c>
      <c r="I89" s="39" t="s">
        <v>28</v>
      </c>
      <c r="J89" s="39" t="s">
        <v>28</v>
      </c>
    </row>
    <row r="90" spans="1:10" ht="18.600000000000001" customHeight="1">
      <c r="A90" s="24" t="s">
        <v>72</v>
      </c>
      <c r="B90" s="184">
        <v>6030</v>
      </c>
      <c r="C90" s="29">
        <v>168207</v>
      </c>
      <c r="D90" s="29">
        <v>219696</v>
      </c>
      <c r="E90" s="29">
        <v>79411</v>
      </c>
      <c r="F90" s="29">
        <v>6600</v>
      </c>
      <c r="G90" s="9" t="s">
        <v>28</v>
      </c>
      <c r="H90" s="9" t="s">
        <v>28</v>
      </c>
      <c r="I90" s="9" t="s">
        <v>28</v>
      </c>
      <c r="J90" s="9" t="s">
        <v>28</v>
      </c>
    </row>
    <row r="91" spans="1:10" ht="18.600000000000001" customHeight="1">
      <c r="A91" s="24" t="s">
        <v>73</v>
      </c>
      <c r="B91" s="184">
        <v>6031</v>
      </c>
      <c r="C91" s="29">
        <v>161602</v>
      </c>
      <c r="D91" s="29">
        <f>D90</f>
        <v>219696</v>
      </c>
      <c r="E91" s="29">
        <v>72806</v>
      </c>
      <c r="F91" s="29">
        <v>0</v>
      </c>
      <c r="G91" s="9" t="s">
        <v>28</v>
      </c>
      <c r="H91" s="9" t="s">
        <v>28</v>
      </c>
      <c r="I91" s="9" t="s">
        <v>28</v>
      </c>
      <c r="J91" s="9" t="s">
        <v>28</v>
      </c>
    </row>
    <row r="92" spans="1:10" ht="18.600000000000001" customHeight="1">
      <c r="A92" s="24" t="s">
        <v>74</v>
      </c>
      <c r="B92" s="184">
        <v>6040</v>
      </c>
      <c r="C92" s="29">
        <v>980796</v>
      </c>
      <c r="D92" s="29">
        <v>838244</v>
      </c>
      <c r="E92" s="29">
        <v>1088167</v>
      </c>
      <c r="F92" s="29">
        <v>1139314</v>
      </c>
      <c r="G92" s="9" t="s">
        <v>28</v>
      </c>
      <c r="H92" s="9" t="s">
        <v>28</v>
      </c>
      <c r="I92" s="9" t="s">
        <v>28</v>
      </c>
      <c r="J92" s="9" t="s">
        <v>28</v>
      </c>
    </row>
    <row r="93" spans="1:10" ht="18.600000000000001" customHeight="1">
      <c r="A93" s="24" t="s">
        <v>75</v>
      </c>
      <c r="B93" s="184">
        <v>6041</v>
      </c>
      <c r="C93" s="29">
        <v>0</v>
      </c>
      <c r="D93" s="29">
        <v>0</v>
      </c>
      <c r="E93" s="29">
        <v>0</v>
      </c>
      <c r="F93" s="29">
        <v>0</v>
      </c>
      <c r="G93" s="9" t="s">
        <v>28</v>
      </c>
      <c r="H93" s="9" t="s">
        <v>28</v>
      </c>
      <c r="I93" s="9" t="s">
        <v>28</v>
      </c>
      <c r="J93" s="9" t="s">
        <v>28</v>
      </c>
    </row>
    <row r="94" spans="1:10" ht="18.75" customHeight="1">
      <c r="A94" s="24" t="s">
        <v>76</v>
      </c>
      <c r="B94" s="184">
        <v>6042</v>
      </c>
      <c r="C94" s="29">
        <v>34207</v>
      </c>
      <c r="D94" s="29">
        <v>57000</v>
      </c>
      <c r="E94" s="29">
        <v>56870</v>
      </c>
      <c r="F94" s="29">
        <v>59145</v>
      </c>
      <c r="G94" s="9" t="s">
        <v>28</v>
      </c>
      <c r="H94" s="9" t="s">
        <v>28</v>
      </c>
      <c r="I94" s="9" t="s">
        <v>28</v>
      </c>
      <c r="J94" s="9" t="s">
        <v>28</v>
      </c>
    </row>
    <row r="95" spans="1:10" ht="19.5" customHeight="1">
      <c r="A95" s="24" t="s">
        <v>77</v>
      </c>
      <c r="B95" s="184">
        <v>6043</v>
      </c>
      <c r="C95" s="29">
        <v>5207</v>
      </c>
      <c r="D95" s="29">
        <v>5517</v>
      </c>
      <c r="E95" s="29">
        <v>5780</v>
      </c>
      <c r="F95" s="29">
        <v>5907</v>
      </c>
      <c r="G95" s="9" t="s">
        <v>28</v>
      </c>
      <c r="H95" s="9" t="s">
        <v>28</v>
      </c>
      <c r="I95" s="9" t="s">
        <v>28</v>
      </c>
      <c r="J95" s="9" t="s">
        <v>28</v>
      </c>
    </row>
    <row r="96" spans="1:10" s="185" customFormat="1" ht="18.75" customHeight="1">
      <c r="A96" s="23" t="s">
        <v>78</v>
      </c>
      <c r="B96" s="182">
        <v>6050</v>
      </c>
      <c r="C96" s="47">
        <f>C90+C92</f>
        <v>1149003</v>
      </c>
      <c r="D96" s="47">
        <f t="shared" ref="D96:F96" si="4">D90+D92</f>
        <v>1057940</v>
      </c>
      <c r="E96" s="47">
        <f t="shared" si="4"/>
        <v>1167578</v>
      </c>
      <c r="F96" s="47">
        <f t="shared" si="4"/>
        <v>1145914</v>
      </c>
      <c r="G96" s="39" t="s">
        <v>28</v>
      </c>
      <c r="H96" s="39" t="s">
        <v>28</v>
      </c>
      <c r="I96" s="39" t="s">
        <v>28</v>
      </c>
      <c r="J96" s="39" t="s">
        <v>28</v>
      </c>
    </row>
    <row r="97" spans="1:10" ht="18.75" customHeight="1">
      <c r="A97" s="24" t="s">
        <v>79</v>
      </c>
      <c r="B97" s="184">
        <v>6060</v>
      </c>
      <c r="C97" s="29">
        <v>0</v>
      </c>
      <c r="D97" s="29"/>
      <c r="E97" s="29"/>
      <c r="F97" s="29"/>
      <c r="G97" s="9" t="s">
        <v>28</v>
      </c>
      <c r="H97" s="9" t="s">
        <v>28</v>
      </c>
      <c r="I97" s="9" t="s">
        <v>28</v>
      </c>
      <c r="J97" s="9" t="s">
        <v>28</v>
      </c>
    </row>
    <row r="98" spans="1:10" ht="18.75" customHeight="1">
      <c r="A98" s="24" t="s">
        <v>80</v>
      </c>
      <c r="B98" s="184">
        <v>6070</v>
      </c>
      <c r="C98" s="29">
        <v>161602</v>
      </c>
      <c r="D98" s="29">
        <v>516009</v>
      </c>
      <c r="E98" s="29">
        <v>72806</v>
      </c>
      <c r="F98" s="29">
        <v>0</v>
      </c>
      <c r="G98" s="9" t="s">
        <v>28</v>
      </c>
      <c r="H98" s="9" t="s">
        <v>28</v>
      </c>
      <c r="I98" s="9" t="s">
        <v>28</v>
      </c>
      <c r="J98" s="9" t="s">
        <v>28</v>
      </c>
    </row>
    <row r="99" spans="1:10" s="185" customFormat="1" ht="18.75" customHeight="1">
      <c r="A99" s="23" t="s">
        <v>81</v>
      </c>
      <c r="B99" s="182">
        <v>6080</v>
      </c>
      <c r="C99" s="40">
        <v>267564</v>
      </c>
      <c r="D99" s="40">
        <v>261404</v>
      </c>
      <c r="E99" s="40">
        <v>462947</v>
      </c>
      <c r="F99" s="40">
        <v>546207</v>
      </c>
      <c r="G99" s="39" t="s">
        <v>28</v>
      </c>
      <c r="H99" s="39" t="s">
        <v>28</v>
      </c>
      <c r="I99" s="39" t="s">
        <v>28</v>
      </c>
      <c r="J99" s="39" t="s">
        <v>28</v>
      </c>
    </row>
    <row r="100" spans="1:10" s="185" customFormat="1" ht="27" customHeight="1">
      <c r="A100" s="259" t="s">
        <v>82</v>
      </c>
      <c r="B100" s="259"/>
      <c r="C100" s="259"/>
      <c r="D100" s="259"/>
      <c r="E100" s="259"/>
      <c r="F100" s="259"/>
      <c r="G100" s="259"/>
      <c r="H100" s="259"/>
      <c r="I100" s="259"/>
      <c r="J100" s="259"/>
    </row>
    <row r="101" spans="1:10" s="185" customFormat="1" ht="18.75" customHeight="1">
      <c r="A101" s="86" t="s">
        <v>83</v>
      </c>
      <c r="B101" s="183">
        <v>7000</v>
      </c>
      <c r="C101" s="40">
        <v>457471</v>
      </c>
      <c r="D101" s="40">
        <v>536976</v>
      </c>
      <c r="E101" s="40">
        <v>496592.7</v>
      </c>
      <c r="F101" s="41">
        <f>'ІV кап. інвеат. V кред. '!C37</f>
        <v>515533.44999999995</v>
      </c>
      <c r="G101" s="175"/>
      <c r="H101" s="182"/>
      <c r="I101" s="40"/>
      <c r="J101" s="40"/>
    </row>
    <row r="102" spans="1:10" s="185" customFormat="1" ht="18.75" customHeight="1">
      <c r="A102" s="34" t="s">
        <v>84</v>
      </c>
      <c r="B102" s="87" t="s">
        <v>85</v>
      </c>
      <c r="C102" s="41">
        <f>SUM(C103:C105)</f>
        <v>0</v>
      </c>
      <c r="D102" s="41">
        <f>SUM(D103:D105)</f>
        <v>0</v>
      </c>
      <c r="E102" s="41">
        <f>SUM(E103:E105)</f>
        <v>0</v>
      </c>
      <c r="F102" s="41">
        <f>SUM(F103:F105)</f>
        <v>0</v>
      </c>
      <c r="G102" s="40"/>
      <c r="H102" s="40"/>
      <c r="I102" s="40"/>
      <c r="J102" s="40"/>
    </row>
    <row r="103" spans="1:10" s="185" customFormat="1" ht="18.75" customHeight="1">
      <c r="A103" s="24" t="s">
        <v>86</v>
      </c>
      <c r="B103" s="88" t="s">
        <v>87</v>
      </c>
      <c r="C103" s="43"/>
      <c r="D103" s="43"/>
      <c r="E103" s="43"/>
      <c r="F103" s="29">
        <f>'ІV кап. інвеат. V кред. '!E28</f>
        <v>0</v>
      </c>
      <c r="G103" s="29" t="s">
        <v>28</v>
      </c>
      <c r="H103" s="29" t="s">
        <v>28</v>
      </c>
      <c r="I103" s="29" t="s">
        <v>28</v>
      </c>
      <c r="J103" s="29" t="s">
        <v>28</v>
      </c>
    </row>
    <row r="104" spans="1:10" s="185" customFormat="1" ht="18.75" customHeight="1">
      <c r="A104" s="24" t="s">
        <v>88</v>
      </c>
      <c r="B104" s="88" t="s">
        <v>89</v>
      </c>
      <c r="C104" s="29"/>
      <c r="D104" s="29"/>
      <c r="E104" s="29"/>
      <c r="F104" s="29">
        <f>'ІV кап. інвеат. V кред. '!E31</f>
        <v>0</v>
      </c>
      <c r="G104" s="29" t="s">
        <v>28</v>
      </c>
      <c r="H104" s="29" t="s">
        <v>28</v>
      </c>
      <c r="I104" s="29" t="s">
        <v>28</v>
      </c>
      <c r="J104" s="29" t="s">
        <v>28</v>
      </c>
    </row>
    <row r="105" spans="1:10" s="185" customFormat="1" ht="18.75" customHeight="1">
      <c r="A105" s="24" t="s">
        <v>90</v>
      </c>
      <c r="B105" s="88" t="s">
        <v>91</v>
      </c>
      <c r="C105" s="29"/>
      <c r="D105" s="29"/>
      <c r="E105" s="29"/>
      <c r="F105" s="29">
        <f>'ІV кап. інвеат. V кред. '!E34</f>
        <v>0</v>
      </c>
      <c r="G105" s="29" t="s">
        <v>28</v>
      </c>
      <c r="H105" s="29" t="s">
        <v>28</v>
      </c>
      <c r="I105" s="29" t="s">
        <v>28</v>
      </c>
      <c r="J105" s="29" t="s">
        <v>28</v>
      </c>
    </row>
    <row r="106" spans="1:10" s="185" customFormat="1" ht="18.75" customHeight="1">
      <c r="A106" s="23" t="s">
        <v>92</v>
      </c>
      <c r="B106" s="89" t="s">
        <v>93</v>
      </c>
      <c r="C106" s="41">
        <f>SUM(C107:C109)</f>
        <v>-9599</v>
      </c>
      <c r="D106" s="41">
        <f>SUM(D107:D109)</f>
        <v>-20967</v>
      </c>
      <c r="E106" s="41">
        <f>SUM(E107:E109)</f>
        <v>-22436.100000000002</v>
      </c>
      <c r="F106" s="41">
        <f>SUM(F107:F109)</f>
        <v>-21492.3</v>
      </c>
      <c r="G106" s="40"/>
      <c r="H106" s="40"/>
      <c r="I106" s="40">
        <v>0</v>
      </c>
      <c r="J106" s="40">
        <v>0</v>
      </c>
    </row>
    <row r="107" spans="1:10" s="185" customFormat="1" ht="18.75" customHeight="1">
      <c r="A107" s="24" t="s">
        <v>86</v>
      </c>
      <c r="B107" s="88" t="s">
        <v>94</v>
      </c>
      <c r="C107" s="29">
        <v>-9599</v>
      </c>
      <c r="D107" s="29">
        <v>-20967</v>
      </c>
      <c r="E107" s="29">
        <f>-18895.2-3540.9</f>
        <v>-22436.100000000002</v>
      </c>
      <c r="F107" s="29">
        <f>'ІV кап. інвеат. V кред. '!F28</f>
        <v>-21492.3</v>
      </c>
      <c r="G107" s="29" t="s">
        <v>28</v>
      </c>
      <c r="H107" s="29" t="s">
        <v>28</v>
      </c>
      <c r="I107" s="29" t="s">
        <v>28</v>
      </c>
      <c r="J107" s="29" t="s">
        <v>28</v>
      </c>
    </row>
    <row r="108" spans="1:10" s="185" customFormat="1" ht="18.75" customHeight="1">
      <c r="A108" s="24" t="s">
        <v>88</v>
      </c>
      <c r="B108" s="88" t="s">
        <v>95</v>
      </c>
      <c r="C108" s="29"/>
      <c r="D108" s="29"/>
      <c r="E108" s="29"/>
      <c r="F108" s="29"/>
      <c r="G108" s="29" t="s">
        <v>28</v>
      </c>
      <c r="H108" s="29" t="s">
        <v>28</v>
      </c>
      <c r="I108" s="29" t="s">
        <v>28</v>
      </c>
      <c r="J108" s="29" t="s">
        <v>28</v>
      </c>
    </row>
    <row r="109" spans="1:10" ht="18.75" customHeight="1">
      <c r="A109" s="24" t="s">
        <v>90</v>
      </c>
      <c r="B109" s="88" t="s">
        <v>96</v>
      </c>
      <c r="C109" s="29"/>
      <c r="D109" s="29"/>
      <c r="E109" s="29"/>
      <c r="F109" s="29"/>
      <c r="G109" s="29" t="s">
        <v>28</v>
      </c>
      <c r="H109" s="29" t="s">
        <v>28</v>
      </c>
      <c r="I109" s="29" t="s">
        <v>28</v>
      </c>
      <c r="J109" s="29" t="s">
        <v>28</v>
      </c>
    </row>
    <row r="110" spans="1:10" ht="18.75" customHeight="1">
      <c r="A110" s="90" t="s">
        <v>97</v>
      </c>
      <c r="B110" s="183">
        <v>7030</v>
      </c>
      <c r="C110" s="40">
        <v>496593</v>
      </c>
      <c r="D110" s="40">
        <v>516009</v>
      </c>
      <c r="E110" s="40">
        <f>F101</f>
        <v>515533.44999999995</v>
      </c>
      <c r="F110" s="41">
        <f>'ІV кап. інвеат. V кред. '!L37</f>
        <v>537025.75</v>
      </c>
      <c r="G110" s="40"/>
      <c r="H110" s="40"/>
      <c r="I110" s="40"/>
      <c r="J110" s="40"/>
    </row>
    <row r="111" spans="1:10" ht="27" customHeight="1">
      <c r="A111" s="259" t="s">
        <v>98</v>
      </c>
      <c r="B111" s="259"/>
      <c r="C111" s="259"/>
      <c r="D111" s="259"/>
      <c r="E111" s="259"/>
      <c r="F111" s="259"/>
      <c r="G111" s="259"/>
      <c r="H111" s="259"/>
      <c r="I111" s="259"/>
      <c r="J111" s="259"/>
    </row>
    <row r="112" spans="1:10" s="188" customFormat="1" ht="60.75" customHeight="1">
      <c r="A112" s="100" t="s">
        <v>99</v>
      </c>
      <c r="B112" s="44" t="s">
        <v>100</v>
      </c>
      <c r="C112" s="41">
        <f>SUM(C113:C117)</f>
        <v>489</v>
      </c>
      <c r="D112" s="41">
        <f>SUM(D113:D117)</f>
        <v>491</v>
      </c>
      <c r="E112" s="41">
        <f>SUM(E113:E117)</f>
        <v>498</v>
      </c>
      <c r="F112" s="41">
        <f>SUM(F113:F117)</f>
        <v>498</v>
      </c>
      <c r="G112" s="173">
        <f>F112</f>
        <v>498</v>
      </c>
      <c r="H112" s="173">
        <f>G112</f>
        <v>498</v>
      </c>
      <c r="I112" s="173">
        <f>H112</f>
        <v>498</v>
      </c>
      <c r="J112" s="173">
        <f>I112</f>
        <v>498</v>
      </c>
    </row>
    <row r="113" spans="1:10" s="188" customFormat="1" ht="18.75" customHeight="1">
      <c r="A113" s="101" t="s">
        <v>101</v>
      </c>
      <c r="B113" s="37" t="s">
        <v>102</v>
      </c>
      <c r="C113" s="29"/>
      <c r="D113" s="29"/>
      <c r="E113" s="29"/>
      <c r="F113" s="29"/>
      <c r="G113" s="9" t="s">
        <v>28</v>
      </c>
      <c r="H113" s="9" t="s">
        <v>28</v>
      </c>
      <c r="I113" s="9" t="s">
        <v>28</v>
      </c>
      <c r="J113" s="9" t="s">
        <v>28</v>
      </c>
    </row>
    <row r="114" spans="1:10" s="188" customFormat="1" ht="18.75" customHeight="1">
      <c r="A114" s="101" t="s">
        <v>103</v>
      </c>
      <c r="B114" s="37" t="s">
        <v>104</v>
      </c>
      <c r="C114" s="29"/>
      <c r="D114" s="29"/>
      <c r="E114" s="29"/>
      <c r="F114" s="29"/>
      <c r="G114" s="9" t="s">
        <v>28</v>
      </c>
      <c r="H114" s="9" t="s">
        <v>28</v>
      </c>
      <c r="I114" s="9" t="s">
        <v>28</v>
      </c>
      <c r="J114" s="9" t="s">
        <v>28</v>
      </c>
    </row>
    <row r="115" spans="1:10" s="188" customFormat="1" ht="18.75" customHeight="1">
      <c r="A115" s="49" t="s">
        <v>105</v>
      </c>
      <c r="B115" s="37" t="s">
        <v>106</v>
      </c>
      <c r="C115" s="29">
        <v>1</v>
      </c>
      <c r="D115" s="29">
        <v>1</v>
      </c>
      <c r="E115" s="29">
        <v>1</v>
      </c>
      <c r="F115" s="29">
        <v>1</v>
      </c>
      <c r="G115" s="9" t="s">
        <v>28</v>
      </c>
      <c r="H115" s="9" t="s">
        <v>28</v>
      </c>
      <c r="I115" s="9" t="s">
        <v>28</v>
      </c>
      <c r="J115" s="9" t="s">
        <v>28</v>
      </c>
    </row>
    <row r="116" spans="1:10" s="188" customFormat="1" ht="18.75" customHeight="1">
      <c r="A116" s="49" t="s">
        <v>107</v>
      </c>
      <c r="B116" s="37" t="s">
        <v>108</v>
      </c>
      <c r="C116" s="29">
        <v>121</v>
      </c>
      <c r="D116" s="29">
        <v>127</v>
      </c>
      <c r="E116" s="29">
        <v>132</v>
      </c>
      <c r="F116" s="29">
        <v>133</v>
      </c>
      <c r="G116" s="9" t="s">
        <v>28</v>
      </c>
      <c r="H116" s="9" t="s">
        <v>28</v>
      </c>
      <c r="I116" s="9" t="s">
        <v>28</v>
      </c>
      <c r="J116" s="9" t="s">
        <v>28</v>
      </c>
    </row>
    <row r="117" spans="1:10" s="188" customFormat="1" ht="18.75" customHeight="1">
      <c r="A117" s="49" t="s">
        <v>109</v>
      </c>
      <c r="B117" s="37" t="s">
        <v>110</v>
      </c>
      <c r="C117" s="29">
        <v>367</v>
      </c>
      <c r="D117" s="29">
        <v>363</v>
      </c>
      <c r="E117" s="29">
        <v>365</v>
      </c>
      <c r="F117" s="29">
        <v>364</v>
      </c>
      <c r="G117" s="9" t="s">
        <v>28</v>
      </c>
      <c r="H117" s="9" t="s">
        <v>28</v>
      </c>
      <c r="I117" s="9" t="s">
        <v>28</v>
      </c>
      <c r="J117" s="9" t="s">
        <v>28</v>
      </c>
    </row>
    <row r="118" spans="1:10" s="188" customFormat="1" ht="18.75" customHeight="1">
      <c r="A118" s="100" t="s">
        <v>111</v>
      </c>
      <c r="B118" s="44" t="s">
        <v>112</v>
      </c>
      <c r="C118" s="157">
        <f>'I. Інф. до фін.плану'!C139</f>
        <v>125338.8</v>
      </c>
      <c r="D118" s="157">
        <f>'I. Інф. до фін.плану'!D139</f>
        <v>134038.9</v>
      </c>
      <c r="E118" s="157">
        <f>'I. Інф. до фін.плану'!E139</f>
        <v>136753.60000000001</v>
      </c>
      <c r="F118" s="157">
        <f>'I. Інф. до фін.плану'!F139</f>
        <v>151082.9</v>
      </c>
      <c r="G118" s="174">
        <f>ROUND(F118*1.124,1)</f>
        <v>169817.2</v>
      </c>
      <c r="H118" s="174">
        <f>ROUND(G118*1.078,1)</f>
        <v>183062.9</v>
      </c>
      <c r="I118" s="174">
        <f>ROUND(H118*1.078,1)</f>
        <v>197341.8</v>
      </c>
      <c r="J118" s="174">
        <f>ROUND(I118*1.078,1)</f>
        <v>212734.5</v>
      </c>
    </row>
    <row r="119" spans="1:10" s="188" customFormat="1" ht="18.75" customHeight="1">
      <c r="A119" s="24" t="s">
        <v>101</v>
      </c>
      <c r="B119" s="37" t="s">
        <v>113</v>
      </c>
      <c r="C119" s="29"/>
      <c r="D119" s="29"/>
      <c r="E119" s="29"/>
      <c r="F119" s="29"/>
      <c r="G119" s="9" t="s">
        <v>28</v>
      </c>
      <c r="H119" s="9" t="s">
        <v>28</v>
      </c>
      <c r="I119" s="9" t="s">
        <v>28</v>
      </c>
      <c r="J119" s="9" t="s">
        <v>28</v>
      </c>
    </row>
    <row r="120" spans="1:10" s="188" customFormat="1" ht="18.75" customHeight="1">
      <c r="A120" s="24" t="s">
        <v>103</v>
      </c>
      <c r="B120" s="37" t="s">
        <v>114</v>
      </c>
      <c r="C120" s="29"/>
      <c r="D120" s="29"/>
      <c r="E120" s="29"/>
      <c r="F120" s="29"/>
      <c r="G120" s="9" t="s">
        <v>28</v>
      </c>
      <c r="H120" s="9" t="s">
        <v>28</v>
      </c>
      <c r="I120" s="9" t="s">
        <v>28</v>
      </c>
      <c r="J120" s="9" t="s">
        <v>28</v>
      </c>
    </row>
    <row r="121" spans="1:10" s="188" customFormat="1" ht="18.75" customHeight="1">
      <c r="A121" s="5" t="s">
        <v>105</v>
      </c>
      <c r="B121" s="37" t="s">
        <v>115</v>
      </c>
      <c r="C121" s="136">
        <v>1410.7</v>
      </c>
      <c r="D121" s="136">
        <v>1400</v>
      </c>
      <c r="E121" s="136">
        <v>1022.1</v>
      </c>
      <c r="F121" s="136">
        <v>1286.4000000000001</v>
      </c>
      <c r="G121" s="9" t="s">
        <v>28</v>
      </c>
      <c r="H121" s="9" t="s">
        <v>28</v>
      </c>
      <c r="I121" s="9" t="s">
        <v>28</v>
      </c>
      <c r="J121" s="9" t="s">
        <v>28</v>
      </c>
    </row>
    <row r="122" spans="1:10" s="188" customFormat="1" ht="18.75" customHeight="1">
      <c r="A122" s="5" t="s">
        <v>107</v>
      </c>
      <c r="B122" s="37" t="s">
        <v>116</v>
      </c>
      <c r="C122" s="136">
        <v>38449.599999999999</v>
      </c>
      <c r="D122" s="136">
        <v>41708.5</v>
      </c>
      <c r="E122" s="136">
        <v>44760.4</v>
      </c>
      <c r="F122" s="136">
        <v>50040.800000000003</v>
      </c>
      <c r="G122" s="9" t="s">
        <v>28</v>
      </c>
      <c r="H122" s="9" t="s">
        <v>28</v>
      </c>
      <c r="I122" s="9" t="s">
        <v>28</v>
      </c>
      <c r="J122" s="9" t="s">
        <v>28</v>
      </c>
    </row>
    <row r="123" spans="1:10" s="188" customFormat="1" ht="18.75" customHeight="1">
      <c r="A123" s="5" t="s">
        <v>109</v>
      </c>
      <c r="B123" s="37" t="s">
        <v>117</v>
      </c>
      <c r="C123" s="136">
        <v>85478.5</v>
      </c>
      <c r="D123" s="136">
        <v>90930.4</v>
      </c>
      <c r="E123" s="136">
        <v>90971.1</v>
      </c>
      <c r="F123" s="136">
        <v>99755.7</v>
      </c>
      <c r="G123" s="9" t="s">
        <v>28</v>
      </c>
      <c r="H123" s="9" t="s">
        <v>28</v>
      </c>
      <c r="I123" s="9" t="s">
        <v>28</v>
      </c>
      <c r="J123" s="9" t="s">
        <v>28</v>
      </c>
    </row>
    <row r="124" spans="1:10" s="188" customFormat="1" ht="34.799999999999997">
      <c r="A124" s="23" t="s">
        <v>118</v>
      </c>
      <c r="B124" s="44" t="s">
        <v>119</v>
      </c>
      <c r="C124" s="172">
        <f t="shared" ref="C124:J124" si="5">(C118/C112)/12*1000</f>
        <v>21359.71370143149</v>
      </c>
      <c r="D124" s="172">
        <f t="shared" si="5"/>
        <v>22749.304141208417</v>
      </c>
      <c r="E124" s="172">
        <f t="shared" si="5"/>
        <v>22883.80187416332</v>
      </c>
      <c r="F124" s="172">
        <f t="shared" si="5"/>
        <v>25281.609772423024</v>
      </c>
      <c r="G124" s="157">
        <f>(G118/G112)/12*1000</f>
        <v>28416.532797858101</v>
      </c>
      <c r="H124" s="157">
        <f t="shared" si="5"/>
        <v>30633.015394912985</v>
      </c>
      <c r="I124" s="157">
        <f t="shared" si="5"/>
        <v>33022.389558232928</v>
      </c>
      <c r="J124" s="157">
        <f t="shared" si="5"/>
        <v>35598.142570281125</v>
      </c>
    </row>
    <row r="125" spans="1:10" s="188" customFormat="1" ht="18.75" customHeight="1">
      <c r="A125" s="24" t="s">
        <v>120</v>
      </c>
      <c r="B125" s="37" t="s">
        <v>121</v>
      </c>
      <c r="C125" s="106"/>
      <c r="D125" s="106"/>
      <c r="E125" s="106"/>
      <c r="F125" s="106"/>
      <c r="G125" s="9" t="s">
        <v>28</v>
      </c>
      <c r="H125" s="9" t="s">
        <v>28</v>
      </c>
      <c r="I125" s="9" t="s">
        <v>28</v>
      </c>
      <c r="J125" s="9" t="s">
        <v>28</v>
      </c>
    </row>
    <row r="126" spans="1:10" s="188" customFormat="1" ht="18.75" customHeight="1">
      <c r="A126" s="24" t="s">
        <v>122</v>
      </c>
      <c r="B126" s="37" t="s">
        <v>123</v>
      </c>
      <c r="C126" s="106"/>
      <c r="D126" s="106"/>
      <c r="E126" s="106"/>
      <c r="F126" s="106"/>
      <c r="G126" s="9" t="s">
        <v>28</v>
      </c>
      <c r="H126" s="9" t="s">
        <v>28</v>
      </c>
      <c r="I126" s="9" t="s">
        <v>28</v>
      </c>
      <c r="J126" s="9" t="s">
        <v>28</v>
      </c>
    </row>
    <row r="127" spans="1:10" s="188" customFormat="1" ht="18.75" customHeight="1">
      <c r="A127" s="5" t="s">
        <v>124</v>
      </c>
      <c r="B127" s="37" t="s">
        <v>125</v>
      </c>
      <c r="C127" s="137">
        <f>(C121/C115)/12*1000</f>
        <v>117558.33333333334</v>
      </c>
      <c r="D127" s="137">
        <f>(D121/D115)/12*1000</f>
        <v>116666.66666666667</v>
      </c>
      <c r="E127" s="137">
        <f>(E121/E115)/12*1000</f>
        <v>85175</v>
      </c>
      <c r="F127" s="137">
        <f>(F121/F115)/12*1000</f>
        <v>107200</v>
      </c>
      <c r="G127" s="9" t="s">
        <v>28</v>
      </c>
      <c r="H127" s="9" t="s">
        <v>28</v>
      </c>
      <c r="I127" s="9" t="s">
        <v>28</v>
      </c>
      <c r="J127" s="9" t="s">
        <v>28</v>
      </c>
    </row>
    <row r="128" spans="1:10" s="95" customFormat="1" ht="18.75" customHeight="1">
      <c r="A128" s="92" t="s">
        <v>126</v>
      </c>
      <c r="B128" s="93" t="s">
        <v>127</v>
      </c>
      <c r="C128" s="138">
        <v>28183.3</v>
      </c>
      <c r="D128" s="138">
        <v>50000</v>
      </c>
      <c r="E128" s="138">
        <v>40250</v>
      </c>
      <c r="F128" s="138">
        <v>63866.7</v>
      </c>
      <c r="G128" s="94" t="s">
        <v>28</v>
      </c>
      <c r="H128" s="94" t="s">
        <v>28</v>
      </c>
      <c r="I128" s="94" t="s">
        <v>28</v>
      </c>
      <c r="J128" s="94" t="s">
        <v>28</v>
      </c>
    </row>
    <row r="129" spans="1:10" s="95" customFormat="1" ht="18.75" customHeight="1">
      <c r="A129" s="92" t="s">
        <v>128</v>
      </c>
      <c r="B129" s="93" t="s">
        <v>129</v>
      </c>
      <c r="C129" s="138">
        <v>54166.7</v>
      </c>
      <c r="D129" s="138">
        <v>66666.7</v>
      </c>
      <c r="E129" s="138">
        <v>25000</v>
      </c>
      <c r="F129" s="138">
        <v>43333.3</v>
      </c>
      <c r="G129" s="94" t="s">
        <v>28</v>
      </c>
      <c r="H129" s="94" t="s">
        <v>28</v>
      </c>
      <c r="I129" s="94" t="s">
        <v>28</v>
      </c>
      <c r="J129" s="94" t="s">
        <v>28</v>
      </c>
    </row>
    <row r="130" spans="1:10" s="95" customFormat="1" ht="18.75" customHeight="1">
      <c r="A130" s="92" t="s">
        <v>130</v>
      </c>
      <c r="B130" s="93" t="s">
        <v>131</v>
      </c>
      <c r="C130" s="138">
        <v>35208.300000000003</v>
      </c>
      <c r="D130" s="138">
        <v>0</v>
      </c>
      <c r="E130" s="138">
        <v>19925</v>
      </c>
      <c r="F130" s="138">
        <v>0</v>
      </c>
      <c r="G130" s="94" t="s">
        <v>28</v>
      </c>
      <c r="H130" s="94" t="s">
        <v>28</v>
      </c>
      <c r="I130" s="94" t="s">
        <v>28</v>
      </c>
      <c r="J130" s="94" t="s">
        <v>28</v>
      </c>
    </row>
    <row r="131" spans="1:10" s="188" customFormat="1" ht="18.75" customHeight="1">
      <c r="A131" s="5" t="s">
        <v>132</v>
      </c>
      <c r="B131" s="37" t="s">
        <v>133</v>
      </c>
      <c r="C131" s="137">
        <f t="shared" ref="C131:F132" si="6">(C122/C116)/12*1000</f>
        <v>26480.440771349862</v>
      </c>
      <c r="D131" s="137">
        <f t="shared" si="6"/>
        <v>27367.782152230971</v>
      </c>
      <c r="E131" s="137">
        <f t="shared" si="6"/>
        <v>28257.828282828286</v>
      </c>
      <c r="F131" s="137">
        <f t="shared" si="6"/>
        <v>31353.884711779454</v>
      </c>
      <c r="G131" s="9" t="s">
        <v>28</v>
      </c>
      <c r="H131" s="9" t="s">
        <v>28</v>
      </c>
      <c r="I131" s="9" t="s">
        <v>28</v>
      </c>
      <c r="J131" s="9" t="s">
        <v>28</v>
      </c>
    </row>
    <row r="132" spans="1:10" s="188" customFormat="1" ht="18.75" customHeight="1">
      <c r="A132" s="5" t="s">
        <v>134</v>
      </c>
      <c r="B132" s="37" t="s">
        <v>135</v>
      </c>
      <c r="C132" s="137">
        <f t="shared" si="6"/>
        <v>19409.287011807446</v>
      </c>
      <c r="D132" s="137">
        <f t="shared" si="6"/>
        <v>20874.747474747473</v>
      </c>
      <c r="E132" s="137">
        <f t="shared" si="6"/>
        <v>20769.657534246577</v>
      </c>
      <c r="F132" s="137">
        <f t="shared" si="6"/>
        <v>22837.843406593409</v>
      </c>
      <c r="G132" s="9" t="s">
        <v>28</v>
      </c>
      <c r="H132" s="9" t="s">
        <v>28</v>
      </c>
      <c r="I132" s="9" t="s">
        <v>28</v>
      </c>
      <c r="J132" s="9" t="s">
        <v>28</v>
      </c>
    </row>
    <row r="133" spans="1:10" s="188" customFormat="1" ht="18.75" customHeight="1">
      <c r="A133" s="19"/>
      <c r="C133" s="18"/>
      <c r="D133" s="20"/>
      <c r="E133" s="20"/>
      <c r="F133" s="20"/>
      <c r="G133" s="125"/>
      <c r="H133" s="125"/>
      <c r="I133" s="125"/>
      <c r="J133" s="125"/>
    </row>
    <row r="134" spans="1:10" s="188" customFormat="1" ht="18.75" customHeight="1">
      <c r="A134" s="19"/>
      <c r="C134" s="18"/>
      <c r="D134" s="20"/>
      <c r="E134" s="20"/>
      <c r="F134" s="20"/>
      <c r="G134" s="125"/>
      <c r="H134" s="125"/>
      <c r="I134" s="125"/>
      <c r="J134" s="125"/>
    </row>
    <row r="135" spans="1:10" s="188" customFormat="1" ht="18.75" customHeight="1">
      <c r="A135" s="19"/>
      <c r="C135" s="18"/>
      <c r="D135" s="20"/>
      <c r="E135" s="20"/>
      <c r="F135" s="20"/>
      <c r="G135" s="125"/>
      <c r="H135" s="125"/>
      <c r="I135" s="125"/>
      <c r="J135" s="125"/>
    </row>
    <row r="136" spans="1:10" s="188" customFormat="1" ht="18.75" customHeight="1">
      <c r="A136" s="19"/>
      <c r="C136" s="79"/>
      <c r="D136" s="20"/>
      <c r="E136" s="20"/>
      <c r="F136" s="20"/>
      <c r="G136" s="125"/>
      <c r="H136" s="125"/>
      <c r="I136" s="125"/>
      <c r="J136" s="125"/>
    </row>
    <row r="137" spans="1:10" s="141" customFormat="1" ht="18.75" customHeight="1">
      <c r="A137" s="233" t="s">
        <v>536</v>
      </c>
      <c r="B137" s="139"/>
      <c r="C137" s="254" t="s">
        <v>136</v>
      </c>
      <c r="D137" s="254"/>
      <c r="E137" s="254"/>
      <c r="F137" s="254"/>
      <c r="G137" s="140"/>
      <c r="H137" s="266" t="s">
        <v>398</v>
      </c>
      <c r="I137" s="266"/>
      <c r="J137" s="266"/>
    </row>
    <row r="138" spans="1:10" s="188" customFormat="1" ht="18.75" customHeight="1">
      <c r="A138" s="178" t="s">
        <v>137</v>
      </c>
      <c r="B138" s="82"/>
      <c r="C138" s="252" t="s">
        <v>138</v>
      </c>
      <c r="D138" s="252"/>
      <c r="E138" s="252"/>
      <c r="F138" s="252"/>
      <c r="G138" s="81"/>
      <c r="H138" s="253" t="s">
        <v>139</v>
      </c>
      <c r="I138" s="253"/>
      <c r="J138" s="253"/>
    </row>
    <row r="139" spans="1:10" s="188" customFormat="1">
      <c r="A139" s="16"/>
      <c r="F139" s="2"/>
      <c r="G139" s="2"/>
      <c r="H139" s="2"/>
      <c r="I139" s="2"/>
      <c r="J139" s="2"/>
    </row>
    <row r="140" spans="1:10" s="188" customFormat="1">
      <c r="A140" s="16"/>
      <c r="F140" s="2"/>
      <c r="G140" s="2"/>
      <c r="H140" s="2"/>
      <c r="I140" s="2"/>
      <c r="J140" s="2"/>
    </row>
    <row r="141" spans="1:10" s="188" customFormat="1">
      <c r="A141" s="16"/>
      <c r="F141" s="2"/>
      <c r="G141" s="2"/>
      <c r="H141" s="2"/>
      <c r="I141" s="2"/>
      <c r="J141" s="2"/>
    </row>
    <row r="142" spans="1:10" s="188" customFormat="1">
      <c r="A142" s="16"/>
      <c r="F142" s="2"/>
      <c r="G142" s="2"/>
      <c r="H142" s="2"/>
      <c r="I142" s="2"/>
      <c r="J142" s="2"/>
    </row>
    <row r="143" spans="1:10" s="188" customFormat="1">
      <c r="A143" s="16"/>
      <c r="F143" s="2"/>
      <c r="G143" s="2"/>
      <c r="H143" s="2"/>
      <c r="I143" s="2"/>
      <c r="J143" s="2"/>
    </row>
    <row r="144" spans="1:10" s="188" customFormat="1">
      <c r="A144" s="16"/>
      <c r="F144" s="2"/>
      <c r="G144" s="2"/>
      <c r="H144" s="2"/>
      <c r="I144" s="2"/>
      <c r="J144" s="2"/>
    </row>
    <row r="145" spans="1:10" s="188" customFormat="1">
      <c r="A145" s="16"/>
      <c r="F145" s="2"/>
      <c r="G145" s="2"/>
      <c r="H145" s="2"/>
      <c r="I145" s="2"/>
      <c r="J145" s="2"/>
    </row>
    <row r="146" spans="1:10" s="188" customFormat="1">
      <c r="A146" s="16"/>
      <c r="F146" s="2"/>
      <c r="G146" s="2"/>
      <c r="H146" s="2"/>
      <c r="I146" s="2"/>
      <c r="J146" s="2"/>
    </row>
    <row r="147" spans="1:10" s="188" customFormat="1">
      <c r="A147" s="16"/>
      <c r="F147" s="2"/>
      <c r="G147" s="2"/>
      <c r="H147" s="2"/>
      <c r="I147" s="2"/>
      <c r="J147" s="2"/>
    </row>
    <row r="148" spans="1:10" s="188" customFormat="1">
      <c r="A148" s="16"/>
      <c r="F148" s="2"/>
      <c r="G148" s="2"/>
      <c r="H148" s="2"/>
      <c r="I148" s="2"/>
      <c r="J148" s="2"/>
    </row>
    <row r="149" spans="1:10" s="188" customFormat="1">
      <c r="A149" s="16"/>
      <c r="F149" s="2"/>
      <c r="G149" s="2"/>
      <c r="H149" s="2"/>
      <c r="I149" s="2"/>
      <c r="J149" s="2"/>
    </row>
    <row r="150" spans="1:10" s="188" customFormat="1">
      <c r="A150" s="16"/>
      <c r="F150" s="2"/>
      <c r="G150" s="2"/>
      <c r="H150" s="2"/>
      <c r="I150" s="2"/>
      <c r="J150" s="2"/>
    </row>
    <row r="151" spans="1:10" s="188" customFormat="1">
      <c r="A151" s="16"/>
      <c r="F151" s="2"/>
      <c r="G151" s="2"/>
      <c r="H151" s="2"/>
      <c r="I151" s="2"/>
      <c r="J151" s="2"/>
    </row>
    <row r="152" spans="1:10" s="188" customFormat="1">
      <c r="A152" s="16"/>
      <c r="F152" s="2"/>
      <c r="G152" s="2"/>
      <c r="H152" s="2"/>
      <c r="I152" s="2"/>
      <c r="J152" s="2"/>
    </row>
    <row r="153" spans="1:10" s="188" customFormat="1">
      <c r="A153" s="16"/>
      <c r="F153" s="2"/>
      <c r="G153" s="2"/>
      <c r="H153" s="2"/>
      <c r="I153" s="2"/>
      <c r="J153" s="2"/>
    </row>
    <row r="154" spans="1:10" s="188" customFormat="1">
      <c r="A154" s="16"/>
      <c r="F154" s="2"/>
      <c r="G154" s="2"/>
      <c r="H154" s="2"/>
      <c r="I154" s="2"/>
      <c r="J154" s="2"/>
    </row>
    <row r="155" spans="1:10" s="188" customFormat="1">
      <c r="A155" s="16"/>
      <c r="F155" s="2"/>
      <c r="G155" s="2"/>
      <c r="H155" s="2"/>
      <c r="I155" s="2"/>
      <c r="J155" s="2"/>
    </row>
    <row r="156" spans="1:10" s="188" customFormat="1">
      <c r="A156" s="16"/>
      <c r="F156" s="2"/>
      <c r="G156" s="2"/>
      <c r="H156" s="2"/>
      <c r="I156" s="2"/>
      <c r="J156" s="2"/>
    </row>
    <row r="157" spans="1:10" s="188" customFormat="1">
      <c r="A157" s="16"/>
      <c r="F157" s="2"/>
      <c r="G157" s="2"/>
      <c r="H157" s="2"/>
      <c r="I157" s="2"/>
      <c r="J157" s="2"/>
    </row>
    <row r="158" spans="1:10" s="188" customFormat="1">
      <c r="A158" s="16"/>
      <c r="F158" s="2"/>
      <c r="G158" s="2"/>
      <c r="H158" s="2"/>
      <c r="I158" s="2"/>
      <c r="J158" s="2"/>
    </row>
    <row r="159" spans="1:10" s="188" customFormat="1">
      <c r="A159" s="16"/>
      <c r="F159" s="2"/>
      <c r="G159" s="2"/>
      <c r="H159" s="2"/>
      <c r="I159" s="2"/>
      <c r="J159" s="2"/>
    </row>
    <row r="160" spans="1:10" s="188" customFormat="1">
      <c r="A160" s="16"/>
      <c r="F160" s="2"/>
      <c r="G160" s="2"/>
      <c r="H160" s="2"/>
      <c r="I160" s="2"/>
      <c r="J160" s="2"/>
    </row>
    <row r="161" spans="1:10" s="188" customFormat="1">
      <c r="A161" s="16"/>
      <c r="F161" s="2"/>
      <c r="G161" s="2"/>
      <c r="H161" s="2"/>
      <c r="I161" s="2"/>
      <c r="J161" s="2"/>
    </row>
    <row r="162" spans="1:10" s="188" customFormat="1">
      <c r="A162" s="16"/>
      <c r="F162" s="2"/>
      <c r="G162" s="2"/>
      <c r="H162" s="2"/>
      <c r="I162" s="2"/>
      <c r="J162" s="2"/>
    </row>
    <row r="163" spans="1:10" s="188" customFormat="1">
      <c r="A163" s="16"/>
      <c r="F163" s="2"/>
      <c r="G163" s="2"/>
      <c r="H163" s="2"/>
      <c r="I163" s="2"/>
      <c r="J163" s="2"/>
    </row>
    <row r="164" spans="1:10" s="188" customFormat="1">
      <c r="A164" s="16"/>
      <c r="F164" s="2"/>
      <c r="G164" s="2"/>
      <c r="H164" s="2"/>
      <c r="I164" s="2"/>
      <c r="J164" s="2"/>
    </row>
    <row r="165" spans="1:10" s="188" customFormat="1">
      <c r="A165" s="16"/>
      <c r="F165" s="2"/>
      <c r="G165" s="2"/>
      <c r="H165" s="2"/>
      <c r="I165" s="2"/>
      <c r="J165" s="2"/>
    </row>
    <row r="166" spans="1:10" s="188" customFormat="1">
      <c r="A166" s="16"/>
      <c r="F166" s="2"/>
      <c r="G166" s="2"/>
      <c r="H166" s="2"/>
      <c r="I166" s="2"/>
      <c r="J166" s="2"/>
    </row>
    <row r="167" spans="1:10" s="188" customFormat="1">
      <c r="A167" s="16"/>
      <c r="F167" s="2"/>
      <c r="G167" s="2"/>
      <c r="H167" s="2"/>
      <c r="I167" s="2"/>
      <c r="J167" s="2"/>
    </row>
    <row r="168" spans="1:10" s="188" customFormat="1">
      <c r="A168" s="16"/>
      <c r="F168" s="2"/>
      <c r="G168" s="2"/>
      <c r="H168" s="2"/>
      <c r="I168" s="2"/>
      <c r="J168" s="2"/>
    </row>
    <row r="169" spans="1:10" s="188" customFormat="1">
      <c r="A169" s="16"/>
      <c r="F169" s="2"/>
      <c r="G169" s="2"/>
      <c r="H169" s="2"/>
      <c r="I169" s="2"/>
      <c r="J169" s="2"/>
    </row>
    <row r="170" spans="1:10" s="188" customFormat="1">
      <c r="A170" s="16"/>
      <c r="F170" s="2"/>
      <c r="G170" s="2"/>
      <c r="H170" s="2"/>
      <c r="I170" s="2"/>
      <c r="J170" s="2"/>
    </row>
    <row r="171" spans="1:10" s="188" customFormat="1">
      <c r="A171" s="16"/>
      <c r="F171" s="2"/>
      <c r="G171" s="2"/>
      <c r="H171" s="2"/>
      <c r="I171" s="2"/>
      <c r="J171" s="2"/>
    </row>
    <row r="172" spans="1:10" s="188" customFormat="1">
      <c r="A172" s="16"/>
      <c r="F172" s="2"/>
      <c r="G172" s="2"/>
      <c r="H172" s="2"/>
      <c r="I172" s="2"/>
      <c r="J172" s="2"/>
    </row>
    <row r="173" spans="1:10" s="188" customFormat="1">
      <c r="A173" s="16"/>
      <c r="F173" s="2"/>
      <c r="G173" s="2"/>
      <c r="H173" s="2"/>
      <c r="I173" s="2"/>
      <c r="J173" s="2"/>
    </row>
    <row r="174" spans="1:10" s="188" customFormat="1">
      <c r="A174" s="16"/>
      <c r="F174" s="2"/>
      <c r="G174" s="2"/>
      <c r="H174" s="2"/>
      <c r="I174" s="2"/>
      <c r="J174" s="2"/>
    </row>
    <row r="175" spans="1:10" s="188" customFormat="1">
      <c r="A175" s="16"/>
      <c r="F175" s="2"/>
      <c r="G175" s="2"/>
      <c r="H175" s="2"/>
      <c r="I175" s="2"/>
      <c r="J175" s="2"/>
    </row>
    <row r="176" spans="1:10" s="188" customFormat="1">
      <c r="A176" s="16"/>
      <c r="F176" s="2"/>
      <c r="G176" s="2"/>
      <c r="H176" s="2"/>
      <c r="I176" s="2"/>
      <c r="J176" s="2"/>
    </row>
    <row r="177" spans="1:10" s="188" customFormat="1">
      <c r="A177" s="16"/>
      <c r="F177" s="2"/>
      <c r="G177" s="2"/>
      <c r="H177" s="2"/>
      <c r="I177" s="2"/>
      <c r="J177" s="2"/>
    </row>
    <row r="178" spans="1:10" s="188" customFormat="1">
      <c r="A178" s="16"/>
      <c r="F178" s="2"/>
      <c r="G178" s="2"/>
      <c r="H178" s="2"/>
      <c r="I178" s="2"/>
      <c r="J178" s="2"/>
    </row>
    <row r="179" spans="1:10" s="188" customFormat="1">
      <c r="A179" s="16"/>
      <c r="F179" s="2"/>
      <c r="G179" s="2"/>
      <c r="H179" s="2"/>
      <c r="I179" s="2"/>
      <c r="J179" s="2"/>
    </row>
    <row r="180" spans="1:10" s="188" customFormat="1">
      <c r="A180" s="16"/>
      <c r="F180" s="2"/>
      <c r="G180" s="2"/>
      <c r="H180" s="2"/>
      <c r="I180" s="2"/>
      <c r="J180" s="2"/>
    </row>
    <row r="181" spans="1:10" s="188" customFormat="1">
      <c r="A181" s="16"/>
      <c r="F181" s="2"/>
      <c r="G181" s="2"/>
      <c r="H181" s="2"/>
      <c r="I181" s="2"/>
      <c r="J181" s="2"/>
    </row>
    <row r="182" spans="1:10" s="188" customFormat="1">
      <c r="A182" s="16"/>
      <c r="F182" s="2"/>
      <c r="G182" s="2"/>
      <c r="H182" s="2"/>
      <c r="I182" s="2"/>
      <c r="J182" s="2"/>
    </row>
    <row r="183" spans="1:10" s="188" customFormat="1">
      <c r="A183" s="16"/>
      <c r="F183" s="2"/>
      <c r="G183" s="2"/>
      <c r="H183" s="2"/>
      <c r="I183" s="2"/>
      <c r="J183" s="2"/>
    </row>
    <row r="184" spans="1:10" s="188" customFormat="1">
      <c r="A184" s="16"/>
      <c r="F184" s="2"/>
      <c r="G184" s="2"/>
      <c r="H184" s="2"/>
      <c r="I184" s="2"/>
      <c r="J184" s="2"/>
    </row>
    <row r="185" spans="1:10" s="188" customFormat="1">
      <c r="A185" s="16"/>
      <c r="F185" s="2"/>
      <c r="G185" s="2"/>
      <c r="H185" s="2"/>
      <c r="I185" s="2"/>
      <c r="J185" s="2"/>
    </row>
    <row r="186" spans="1:10" s="188" customFormat="1">
      <c r="A186" s="16"/>
      <c r="F186" s="2"/>
      <c r="G186" s="2"/>
      <c r="H186" s="2"/>
      <c r="I186" s="2"/>
      <c r="J186" s="2"/>
    </row>
    <row r="187" spans="1:10" s="188" customFormat="1">
      <c r="A187" s="16"/>
      <c r="F187" s="2"/>
      <c r="G187" s="2"/>
      <c r="H187" s="2"/>
      <c r="I187" s="2"/>
      <c r="J187" s="2"/>
    </row>
    <row r="188" spans="1:10" s="188" customFormat="1">
      <c r="A188" s="16"/>
      <c r="F188" s="2"/>
      <c r="G188" s="2"/>
      <c r="H188" s="2"/>
      <c r="I188" s="2"/>
      <c r="J188" s="2"/>
    </row>
    <row r="189" spans="1:10" s="188" customFormat="1">
      <c r="A189" s="16"/>
      <c r="F189" s="2"/>
      <c r="G189" s="2"/>
      <c r="H189" s="2"/>
      <c r="I189" s="2"/>
      <c r="J189" s="2"/>
    </row>
    <row r="190" spans="1:10" s="188" customFormat="1">
      <c r="A190" s="16"/>
      <c r="F190" s="2"/>
      <c r="G190" s="2"/>
      <c r="H190" s="2"/>
      <c r="I190" s="2"/>
      <c r="J190" s="2"/>
    </row>
    <row r="191" spans="1:10" s="188" customFormat="1">
      <c r="A191" s="16"/>
      <c r="F191" s="2"/>
      <c r="G191" s="2"/>
      <c r="H191" s="2"/>
      <c r="I191" s="2"/>
      <c r="J191" s="2"/>
    </row>
    <row r="192" spans="1:10" s="188" customFormat="1">
      <c r="A192" s="16"/>
      <c r="F192" s="2"/>
      <c r="G192" s="2"/>
      <c r="H192" s="2"/>
      <c r="I192" s="2"/>
      <c r="J192" s="2"/>
    </row>
    <row r="193" spans="1:10" s="188" customFormat="1">
      <c r="A193" s="16"/>
      <c r="F193" s="2"/>
      <c r="G193" s="2"/>
      <c r="H193" s="2"/>
      <c r="I193" s="2"/>
      <c r="J193" s="2"/>
    </row>
    <row r="194" spans="1:10" s="188" customFormat="1">
      <c r="A194" s="16"/>
      <c r="F194" s="2"/>
      <c r="G194" s="2"/>
      <c r="H194" s="2"/>
      <c r="I194" s="2"/>
      <c r="J194" s="2"/>
    </row>
    <row r="195" spans="1:10" s="188" customFormat="1">
      <c r="A195" s="16"/>
      <c r="F195" s="2"/>
      <c r="G195" s="2"/>
      <c r="H195" s="2"/>
      <c r="I195" s="2"/>
      <c r="J195" s="2"/>
    </row>
    <row r="196" spans="1:10" s="188" customFormat="1">
      <c r="A196" s="16"/>
      <c r="F196" s="2"/>
      <c r="G196" s="2"/>
      <c r="H196" s="2"/>
      <c r="I196" s="2"/>
      <c r="J196" s="2"/>
    </row>
    <row r="197" spans="1:10" s="188" customFormat="1">
      <c r="A197" s="16"/>
      <c r="F197" s="2"/>
      <c r="G197" s="2"/>
      <c r="H197" s="2"/>
      <c r="I197" s="2"/>
      <c r="J197" s="2"/>
    </row>
    <row r="198" spans="1:10" s="188" customFormat="1">
      <c r="A198" s="16"/>
      <c r="F198" s="2"/>
      <c r="G198" s="2"/>
      <c r="H198" s="2"/>
      <c r="I198" s="2"/>
      <c r="J198" s="2"/>
    </row>
    <row r="199" spans="1:10" s="188" customFormat="1">
      <c r="A199" s="16"/>
      <c r="F199" s="2"/>
      <c r="G199" s="2"/>
      <c r="H199" s="2"/>
      <c r="I199" s="2"/>
      <c r="J199" s="2"/>
    </row>
    <row r="200" spans="1:10" s="188" customFormat="1">
      <c r="A200" s="16"/>
      <c r="F200" s="2"/>
      <c r="G200" s="2"/>
      <c r="H200" s="2"/>
      <c r="I200" s="2"/>
      <c r="J200" s="2"/>
    </row>
    <row r="201" spans="1:10" s="188" customFormat="1">
      <c r="A201" s="16"/>
      <c r="F201" s="2"/>
      <c r="G201" s="2"/>
      <c r="H201" s="2"/>
      <c r="I201" s="2"/>
      <c r="J201" s="2"/>
    </row>
    <row r="202" spans="1:10" s="188" customFormat="1">
      <c r="A202" s="16"/>
      <c r="F202" s="2"/>
      <c r="G202" s="2"/>
      <c r="H202" s="2"/>
      <c r="I202" s="2"/>
      <c r="J202" s="2"/>
    </row>
    <row r="203" spans="1:10" s="188" customFormat="1">
      <c r="A203" s="16"/>
      <c r="F203" s="2"/>
      <c r="G203" s="2"/>
      <c r="H203" s="2"/>
      <c r="I203" s="2"/>
      <c r="J203" s="2"/>
    </row>
    <row r="204" spans="1:10" s="188" customFormat="1">
      <c r="A204" s="16"/>
      <c r="F204" s="2"/>
      <c r="G204" s="2"/>
      <c r="H204" s="2"/>
      <c r="I204" s="2"/>
      <c r="J204" s="2"/>
    </row>
    <row r="205" spans="1:10" s="188" customFormat="1">
      <c r="A205" s="16"/>
      <c r="F205" s="2"/>
      <c r="G205" s="2"/>
      <c r="H205" s="2"/>
      <c r="I205" s="2"/>
      <c r="J205" s="2"/>
    </row>
    <row r="206" spans="1:10" s="188" customFormat="1">
      <c r="A206" s="16"/>
      <c r="F206" s="2"/>
      <c r="G206" s="2"/>
      <c r="H206" s="2"/>
      <c r="I206" s="2"/>
      <c r="J206" s="2"/>
    </row>
    <row r="207" spans="1:10" s="188" customFormat="1">
      <c r="A207" s="16"/>
      <c r="F207" s="2"/>
      <c r="G207" s="2"/>
      <c r="H207" s="2"/>
      <c r="I207" s="2"/>
      <c r="J207" s="2"/>
    </row>
    <row r="208" spans="1:10" s="188" customFormat="1">
      <c r="A208" s="16"/>
      <c r="F208" s="2"/>
      <c r="G208" s="2"/>
      <c r="H208" s="2"/>
      <c r="I208" s="2"/>
      <c r="J208" s="2"/>
    </row>
    <row r="209" spans="1:10" s="188" customFormat="1">
      <c r="A209" s="16"/>
      <c r="F209" s="2"/>
      <c r="G209" s="2"/>
      <c r="H209" s="2"/>
      <c r="I209" s="2"/>
      <c r="J209" s="2"/>
    </row>
    <row r="210" spans="1:10" s="188" customFormat="1">
      <c r="A210" s="16"/>
      <c r="F210" s="2"/>
      <c r="G210" s="2"/>
      <c r="H210" s="2"/>
      <c r="I210" s="2"/>
      <c r="J210" s="2"/>
    </row>
    <row r="211" spans="1:10" s="188" customFormat="1">
      <c r="A211" s="16"/>
      <c r="F211" s="2"/>
      <c r="G211" s="2"/>
      <c r="H211" s="2"/>
      <c r="I211" s="2"/>
      <c r="J211" s="2"/>
    </row>
    <row r="212" spans="1:10" s="188" customFormat="1">
      <c r="A212" s="16"/>
      <c r="F212" s="2"/>
      <c r="G212" s="2"/>
      <c r="H212" s="2"/>
      <c r="I212" s="2"/>
      <c r="J212" s="2"/>
    </row>
    <row r="213" spans="1:10" s="188" customFormat="1">
      <c r="A213" s="16"/>
      <c r="F213" s="2"/>
      <c r="G213" s="2"/>
      <c r="H213" s="2"/>
      <c r="I213" s="2"/>
      <c r="J213" s="2"/>
    </row>
    <row r="214" spans="1:10" s="188" customFormat="1">
      <c r="A214" s="16"/>
      <c r="F214" s="2"/>
      <c r="G214" s="2"/>
      <c r="H214" s="2"/>
      <c r="I214" s="2"/>
      <c r="J214" s="2"/>
    </row>
    <row r="215" spans="1:10" s="188" customFormat="1">
      <c r="A215" s="16"/>
      <c r="F215" s="2"/>
      <c r="G215" s="2"/>
      <c r="H215" s="2"/>
      <c r="I215" s="2"/>
      <c r="J215" s="2"/>
    </row>
    <row r="216" spans="1:10" s="188" customFormat="1">
      <c r="A216" s="16"/>
      <c r="F216" s="2"/>
      <c r="G216" s="2"/>
      <c r="H216" s="2"/>
      <c r="I216" s="2"/>
      <c r="J216" s="2"/>
    </row>
    <row r="217" spans="1:10" s="188" customFormat="1">
      <c r="A217" s="16"/>
      <c r="F217" s="2"/>
      <c r="G217" s="2"/>
      <c r="H217" s="2"/>
      <c r="I217" s="2"/>
      <c r="J217" s="2"/>
    </row>
    <row r="218" spans="1:10" s="188" customFormat="1">
      <c r="A218" s="16"/>
      <c r="F218" s="2"/>
      <c r="G218" s="2"/>
      <c r="H218" s="2"/>
      <c r="I218" s="2"/>
      <c r="J218" s="2"/>
    </row>
    <row r="219" spans="1:10" s="188" customFormat="1">
      <c r="A219" s="16"/>
      <c r="F219" s="2"/>
      <c r="G219" s="2"/>
      <c r="H219" s="2"/>
      <c r="I219" s="2"/>
      <c r="J219" s="2"/>
    </row>
    <row r="220" spans="1:10" s="188" customFormat="1">
      <c r="A220" s="16"/>
      <c r="F220" s="2"/>
      <c r="G220" s="2"/>
      <c r="H220" s="2"/>
      <c r="I220" s="2"/>
      <c r="J220" s="2"/>
    </row>
    <row r="221" spans="1:10" s="188" customFormat="1">
      <c r="A221" s="16"/>
      <c r="F221" s="2"/>
      <c r="G221" s="2"/>
      <c r="H221" s="2"/>
      <c r="I221" s="2"/>
      <c r="J221" s="2"/>
    </row>
    <row r="222" spans="1:10" s="188" customFormat="1">
      <c r="A222" s="16"/>
      <c r="F222" s="2"/>
      <c r="G222" s="2"/>
      <c r="H222" s="2"/>
      <c r="I222" s="2"/>
      <c r="J222" s="2"/>
    </row>
    <row r="223" spans="1:10" s="188" customFormat="1">
      <c r="A223" s="16"/>
      <c r="F223" s="2"/>
      <c r="G223" s="2"/>
      <c r="H223" s="2"/>
      <c r="I223" s="2"/>
      <c r="J223" s="2"/>
    </row>
    <row r="224" spans="1:10" s="188" customFormat="1">
      <c r="A224" s="16"/>
      <c r="F224" s="2"/>
      <c r="G224" s="2"/>
      <c r="H224" s="2"/>
      <c r="I224" s="2"/>
      <c r="J224" s="2"/>
    </row>
    <row r="225" spans="1:10" s="188" customFormat="1">
      <c r="A225" s="16"/>
      <c r="F225" s="2"/>
      <c r="G225" s="2"/>
      <c r="H225" s="2"/>
      <c r="I225" s="2"/>
      <c r="J225" s="2"/>
    </row>
    <row r="226" spans="1:10" s="188" customFormat="1">
      <c r="A226" s="16"/>
      <c r="F226" s="2"/>
      <c r="G226" s="2"/>
      <c r="H226" s="2"/>
      <c r="I226" s="2"/>
      <c r="J226" s="2"/>
    </row>
    <row r="227" spans="1:10" s="188" customFormat="1">
      <c r="A227" s="16"/>
      <c r="F227" s="2"/>
      <c r="G227" s="2"/>
      <c r="H227" s="2"/>
      <c r="I227" s="2"/>
      <c r="J227" s="2"/>
    </row>
    <row r="228" spans="1:10" s="188" customFormat="1">
      <c r="A228" s="16"/>
      <c r="F228" s="2"/>
      <c r="G228" s="2"/>
      <c r="H228" s="2"/>
      <c r="I228" s="2"/>
      <c r="J228" s="2"/>
    </row>
    <row r="229" spans="1:10" s="188" customFormat="1">
      <c r="A229" s="16"/>
      <c r="F229" s="2"/>
      <c r="G229" s="2"/>
      <c r="H229" s="2"/>
      <c r="I229" s="2"/>
      <c r="J229" s="2"/>
    </row>
    <row r="230" spans="1:10" s="188" customFormat="1">
      <c r="A230" s="16"/>
      <c r="F230" s="2"/>
      <c r="G230" s="2"/>
      <c r="H230" s="2"/>
      <c r="I230" s="2"/>
      <c r="J230" s="2"/>
    </row>
    <row r="231" spans="1:10" s="188" customFormat="1">
      <c r="A231" s="16"/>
      <c r="F231" s="2"/>
      <c r="G231" s="2"/>
      <c r="H231" s="2"/>
      <c r="I231" s="2"/>
      <c r="J231" s="2"/>
    </row>
    <row r="232" spans="1:10" s="188" customFormat="1">
      <c r="A232" s="16"/>
      <c r="F232" s="2"/>
      <c r="G232" s="2"/>
      <c r="H232" s="2"/>
      <c r="I232" s="2"/>
      <c r="J232" s="2"/>
    </row>
    <row r="233" spans="1:10" s="188" customFormat="1">
      <c r="A233" s="16"/>
      <c r="F233" s="2"/>
      <c r="G233" s="2"/>
      <c r="H233" s="2"/>
      <c r="I233" s="2"/>
      <c r="J233" s="2"/>
    </row>
    <row r="234" spans="1:10" s="188" customFormat="1">
      <c r="A234" s="16"/>
      <c r="F234" s="2"/>
      <c r="G234" s="2"/>
      <c r="H234" s="2"/>
      <c r="I234" s="2"/>
      <c r="J234" s="2"/>
    </row>
    <row r="235" spans="1:10" s="188" customFormat="1">
      <c r="A235" s="16"/>
      <c r="F235" s="2"/>
      <c r="G235" s="2"/>
      <c r="H235" s="2"/>
      <c r="I235" s="2"/>
      <c r="J235" s="2"/>
    </row>
    <row r="236" spans="1:10" s="188" customFormat="1">
      <c r="A236" s="16"/>
      <c r="F236" s="2"/>
      <c r="G236" s="2"/>
      <c r="H236" s="2"/>
      <c r="I236" s="2"/>
      <c r="J236" s="2"/>
    </row>
    <row r="237" spans="1:10" s="188" customFormat="1">
      <c r="A237" s="16"/>
      <c r="F237" s="2"/>
      <c r="G237" s="2"/>
      <c r="H237" s="2"/>
      <c r="I237" s="2"/>
      <c r="J237" s="2"/>
    </row>
    <row r="238" spans="1:10" s="188" customFormat="1">
      <c r="A238" s="16"/>
      <c r="F238" s="2"/>
      <c r="G238" s="2"/>
      <c r="H238" s="2"/>
      <c r="I238" s="2"/>
      <c r="J238" s="2"/>
    </row>
    <row r="239" spans="1:10" s="188" customFormat="1">
      <c r="A239" s="16"/>
      <c r="F239" s="2"/>
      <c r="G239" s="2"/>
      <c r="H239" s="2"/>
      <c r="I239" s="2"/>
      <c r="J239" s="2"/>
    </row>
    <row r="240" spans="1:10" s="188" customFormat="1">
      <c r="A240" s="16"/>
      <c r="F240" s="2"/>
      <c r="G240" s="2"/>
      <c r="H240" s="2"/>
      <c r="I240" s="2"/>
      <c r="J240" s="2"/>
    </row>
    <row r="241" spans="1:10" s="188" customFormat="1">
      <c r="A241" s="16"/>
      <c r="F241" s="2"/>
      <c r="G241" s="2"/>
      <c r="H241" s="2"/>
      <c r="I241" s="2"/>
      <c r="J241" s="2"/>
    </row>
    <row r="242" spans="1:10" s="188" customFormat="1">
      <c r="A242" s="16"/>
      <c r="F242" s="2"/>
      <c r="G242" s="2"/>
      <c r="H242" s="2"/>
      <c r="I242" s="2"/>
      <c r="J242" s="2"/>
    </row>
    <row r="243" spans="1:10" s="188" customFormat="1">
      <c r="A243" s="16"/>
      <c r="F243" s="2"/>
      <c r="G243" s="2"/>
      <c r="H243" s="2"/>
      <c r="I243" s="2"/>
      <c r="J243" s="2"/>
    </row>
    <row r="244" spans="1:10" s="188" customFormat="1">
      <c r="A244" s="16"/>
      <c r="F244" s="2"/>
      <c r="G244" s="2"/>
      <c r="H244" s="2"/>
      <c r="I244" s="2"/>
      <c r="J244" s="2"/>
    </row>
    <row r="245" spans="1:10" s="188" customFormat="1">
      <c r="A245" s="16"/>
      <c r="F245" s="2"/>
      <c r="G245" s="2"/>
      <c r="H245" s="2"/>
      <c r="I245" s="2"/>
      <c r="J245" s="2"/>
    </row>
    <row r="246" spans="1:10" s="188" customFormat="1">
      <c r="A246" s="16"/>
      <c r="F246" s="2"/>
      <c r="G246" s="2"/>
      <c r="H246" s="2"/>
      <c r="I246" s="2"/>
      <c r="J246" s="2"/>
    </row>
    <row r="247" spans="1:10" s="188" customFormat="1">
      <c r="A247" s="16"/>
      <c r="F247" s="2"/>
      <c r="G247" s="2"/>
      <c r="H247" s="2"/>
      <c r="I247" s="2"/>
      <c r="J247" s="2"/>
    </row>
    <row r="248" spans="1:10" s="188" customFormat="1">
      <c r="A248" s="16"/>
      <c r="F248" s="2"/>
      <c r="G248" s="2"/>
      <c r="H248" s="2"/>
      <c r="I248" s="2"/>
      <c r="J248" s="2"/>
    </row>
    <row r="249" spans="1:10" s="188" customFormat="1">
      <c r="A249" s="16"/>
      <c r="F249" s="2"/>
      <c r="G249" s="2"/>
      <c r="H249" s="2"/>
      <c r="I249" s="2"/>
      <c r="J249" s="2"/>
    </row>
    <row r="250" spans="1:10" s="188" customFormat="1">
      <c r="A250" s="16"/>
      <c r="F250" s="2"/>
      <c r="G250" s="2"/>
      <c r="H250" s="2"/>
      <c r="I250" s="2"/>
      <c r="J250" s="2"/>
    </row>
    <row r="251" spans="1:10" s="188" customFormat="1">
      <c r="A251" s="16"/>
      <c r="F251" s="2"/>
      <c r="G251" s="2"/>
      <c r="H251" s="2"/>
      <c r="I251" s="2"/>
      <c r="J251" s="2"/>
    </row>
    <row r="252" spans="1:10" s="188" customFormat="1">
      <c r="A252" s="16"/>
      <c r="F252" s="2"/>
      <c r="G252" s="2"/>
      <c r="H252" s="2"/>
      <c r="I252" s="2"/>
      <c r="J252" s="2"/>
    </row>
    <row r="253" spans="1:10" s="188" customFormat="1">
      <c r="A253" s="16"/>
      <c r="F253" s="2"/>
      <c r="G253" s="2"/>
      <c r="H253" s="2"/>
      <c r="I253" s="2"/>
      <c r="J253" s="2"/>
    </row>
    <row r="254" spans="1:10" s="188" customFormat="1">
      <c r="A254" s="16"/>
      <c r="F254" s="2"/>
      <c r="G254" s="2"/>
      <c r="H254" s="2"/>
      <c r="I254" s="2"/>
      <c r="J254" s="2"/>
    </row>
    <row r="255" spans="1:10" s="188" customFormat="1">
      <c r="A255" s="16"/>
      <c r="F255" s="2"/>
      <c r="G255" s="2"/>
      <c r="H255" s="2"/>
      <c r="I255" s="2"/>
      <c r="J255" s="2"/>
    </row>
    <row r="256" spans="1:10" s="188" customFormat="1">
      <c r="A256" s="16"/>
      <c r="F256" s="2"/>
      <c r="G256" s="2"/>
      <c r="H256" s="2"/>
      <c r="I256" s="2"/>
      <c r="J256" s="2"/>
    </row>
    <row r="257" spans="1:10" s="188" customFormat="1">
      <c r="A257" s="16"/>
      <c r="F257" s="2"/>
      <c r="G257" s="2"/>
      <c r="H257" s="2"/>
      <c r="I257" s="2"/>
      <c r="J257" s="2"/>
    </row>
    <row r="258" spans="1:10" s="188" customFormat="1">
      <c r="A258" s="16"/>
      <c r="F258" s="2"/>
      <c r="G258" s="2"/>
      <c r="H258" s="2"/>
      <c r="I258" s="2"/>
      <c r="J258" s="2"/>
    </row>
    <row r="259" spans="1:10" s="188" customFormat="1">
      <c r="A259" s="16"/>
      <c r="F259" s="2"/>
      <c r="G259" s="2"/>
      <c r="H259" s="2"/>
      <c r="I259" s="2"/>
      <c r="J259" s="2"/>
    </row>
    <row r="260" spans="1:10" s="188" customFormat="1">
      <c r="A260" s="16"/>
      <c r="F260" s="2"/>
      <c r="G260" s="2"/>
      <c r="H260" s="2"/>
      <c r="I260" s="2"/>
      <c r="J260" s="2"/>
    </row>
    <row r="261" spans="1:10" s="188" customFormat="1">
      <c r="A261" s="16"/>
      <c r="F261" s="2"/>
      <c r="G261" s="2"/>
      <c r="H261" s="2"/>
      <c r="I261" s="2"/>
      <c r="J261" s="2"/>
    </row>
    <row r="262" spans="1:10" s="188" customFormat="1">
      <c r="A262" s="16"/>
      <c r="F262" s="2"/>
      <c r="G262" s="2"/>
      <c r="H262" s="2"/>
      <c r="I262" s="2"/>
      <c r="J262" s="2"/>
    </row>
    <row r="263" spans="1:10" s="188" customFormat="1">
      <c r="A263" s="16"/>
      <c r="F263" s="2"/>
      <c r="G263" s="2"/>
      <c r="H263" s="2"/>
      <c r="I263" s="2"/>
      <c r="J263" s="2"/>
    </row>
    <row r="264" spans="1:10" s="188" customFormat="1">
      <c r="A264" s="16"/>
      <c r="F264" s="2"/>
      <c r="G264" s="2"/>
      <c r="H264" s="2"/>
      <c r="I264" s="2"/>
      <c r="J264" s="2"/>
    </row>
    <row r="265" spans="1:10" s="188" customFormat="1">
      <c r="A265" s="16"/>
      <c r="F265" s="2"/>
      <c r="G265" s="2"/>
      <c r="H265" s="2"/>
      <c r="I265" s="2"/>
      <c r="J265" s="2"/>
    </row>
    <row r="266" spans="1:10" s="188" customFormat="1">
      <c r="A266" s="16"/>
      <c r="F266" s="2"/>
      <c r="G266" s="2"/>
      <c r="H266" s="2"/>
      <c r="I266" s="2"/>
      <c r="J266" s="2"/>
    </row>
    <row r="267" spans="1:10" s="188" customFormat="1">
      <c r="A267" s="16"/>
      <c r="F267" s="2"/>
      <c r="G267" s="2"/>
      <c r="H267" s="2"/>
      <c r="I267" s="2"/>
      <c r="J267" s="2"/>
    </row>
    <row r="268" spans="1:10" s="188" customFormat="1">
      <c r="A268" s="16"/>
      <c r="F268" s="2"/>
      <c r="G268" s="2"/>
      <c r="H268" s="2"/>
      <c r="I268" s="2"/>
      <c r="J268" s="2"/>
    </row>
    <row r="269" spans="1:10" s="188" customFormat="1">
      <c r="A269" s="16"/>
      <c r="F269" s="2"/>
      <c r="G269" s="2"/>
      <c r="H269" s="2"/>
      <c r="I269" s="2"/>
      <c r="J269" s="2"/>
    </row>
    <row r="270" spans="1:10" s="188" customFormat="1">
      <c r="A270" s="16"/>
      <c r="F270" s="2"/>
      <c r="G270" s="2"/>
      <c r="H270" s="2"/>
      <c r="I270" s="2"/>
      <c r="J270" s="2"/>
    </row>
    <row r="271" spans="1:10" s="188" customFormat="1">
      <c r="A271" s="16"/>
      <c r="F271" s="2"/>
      <c r="G271" s="2"/>
      <c r="H271" s="2"/>
      <c r="I271" s="2"/>
      <c r="J271" s="2"/>
    </row>
    <row r="272" spans="1:10" s="188" customFormat="1">
      <c r="A272" s="16"/>
      <c r="F272" s="2"/>
      <c r="G272" s="2"/>
      <c r="H272" s="2"/>
      <c r="I272" s="2"/>
      <c r="J272" s="2"/>
    </row>
    <row r="273" spans="1:10" s="188" customFormat="1">
      <c r="A273" s="16"/>
      <c r="F273" s="2"/>
      <c r="G273" s="2"/>
      <c r="H273" s="2"/>
      <c r="I273" s="2"/>
      <c r="J273" s="2"/>
    </row>
    <row r="274" spans="1:10" s="188" customFormat="1">
      <c r="A274" s="16"/>
      <c r="F274" s="2"/>
      <c r="G274" s="2"/>
      <c r="H274" s="2"/>
      <c r="I274" s="2"/>
      <c r="J274" s="2"/>
    </row>
    <row r="275" spans="1:10" s="188" customFormat="1">
      <c r="A275" s="16"/>
      <c r="F275" s="2"/>
      <c r="G275" s="2"/>
      <c r="H275" s="2"/>
      <c r="I275" s="2"/>
      <c r="J275" s="2"/>
    </row>
    <row r="276" spans="1:10" s="188" customFormat="1">
      <c r="A276" s="16"/>
      <c r="F276" s="2"/>
      <c r="G276" s="2"/>
      <c r="H276" s="2"/>
      <c r="I276" s="2"/>
      <c r="J276" s="2"/>
    </row>
    <row r="277" spans="1:10" s="188" customFormat="1">
      <c r="A277" s="16"/>
      <c r="F277" s="2"/>
      <c r="G277" s="2"/>
      <c r="H277" s="2"/>
      <c r="I277" s="2"/>
      <c r="J277" s="2"/>
    </row>
    <row r="278" spans="1:10" s="188" customFormat="1">
      <c r="A278" s="16"/>
      <c r="F278" s="2"/>
      <c r="G278" s="2"/>
      <c r="H278" s="2"/>
      <c r="I278" s="2"/>
      <c r="J278" s="2"/>
    </row>
    <row r="279" spans="1:10" s="188" customFormat="1">
      <c r="A279" s="16"/>
      <c r="F279" s="2"/>
      <c r="G279" s="2"/>
      <c r="H279" s="2"/>
      <c r="I279" s="2"/>
      <c r="J279" s="2"/>
    </row>
    <row r="280" spans="1:10" s="188" customFormat="1">
      <c r="A280" s="16"/>
      <c r="F280" s="2"/>
      <c r="G280" s="2"/>
      <c r="H280" s="2"/>
      <c r="I280" s="2"/>
      <c r="J280" s="2"/>
    </row>
    <row r="281" spans="1:10" s="188" customFormat="1">
      <c r="A281" s="16"/>
      <c r="F281" s="2"/>
      <c r="G281" s="2"/>
      <c r="H281" s="2"/>
      <c r="I281" s="2"/>
      <c r="J281" s="2"/>
    </row>
    <row r="282" spans="1:10" s="188" customFormat="1">
      <c r="A282" s="16"/>
      <c r="F282" s="2"/>
      <c r="G282" s="2"/>
      <c r="H282" s="2"/>
      <c r="I282" s="2"/>
      <c r="J282" s="2"/>
    </row>
    <row r="283" spans="1:10" s="188" customFormat="1">
      <c r="A283" s="16"/>
      <c r="F283" s="2"/>
      <c r="G283" s="2"/>
      <c r="H283" s="2"/>
      <c r="I283" s="2"/>
      <c r="J283" s="2"/>
    </row>
    <row r="284" spans="1:10" s="188" customFormat="1">
      <c r="A284" s="16"/>
      <c r="F284" s="2"/>
      <c r="G284" s="2"/>
      <c r="H284" s="2"/>
      <c r="I284" s="2"/>
      <c r="J284" s="2"/>
    </row>
    <row r="285" spans="1:10" s="188" customFormat="1">
      <c r="A285" s="16"/>
      <c r="F285" s="2"/>
      <c r="G285" s="2"/>
      <c r="H285" s="2"/>
      <c r="I285" s="2"/>
      <c r="J285" s="2"/>
    </row>
    <row r="286" spans="1:10" s="188" customFormat="1">
      <c r="A286" s="16"/>
      <c r="F286" s="2"/>
      <c r="G286" s="2"/>
      <c r="H286" s="2"/>
      <c r="I286" s="2"/>
      <c r="J286" s="2"/>
    </row>
    <row r="287" spans="1:10" s="188" customFormat="1">
      <c r="A287" s="16"/>
      <c r="F287" s="2"/>
      <c r="G287" s="2"/>
      <c r="H287" s="2"/>
      <c r="I287" s="2"/>
      <c r="J287" s="2"/>
    </row>
    <row r="288" spans="1:10" s="188" customFormat="1">
      <c r="A288" s="16"/>
      <c r="F288" s="2"/>
      <c r="G288" s="2"/>
      <c r="H288" s="2"/>
      <c r="I288" s="2"/>
      <c r="J288" s="2"/>
    </row>
    <row r="289" spans="1:10" s="188" customFormat="1">
      <c r="A289" s="16"/>
      <c r="F289" s="2"/>
      <c r="G289" s="2"/>
      <c r="H289" s="2"/>
      <c r="I289" s="2"/>
      <c r="J289" s="2"/>
    </row>
  </sheetData>
  <mergeCells count="63"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E38:E39"/>
    <mergeCell ref="H31:I31"/>
    <mergeCell ref="A19:D19"/>
    <mergeCell ref="I20:I21"/>
    <mergeCell ref="I22:I23"/>
    <mergeCell ref="J22:J23"/>
    <mergeCell ref="B20:F21"/>
    <mergeCell ref="B23:F23"/>
    <mergeCell ref="G19:H19"/>
    <mergeCell ref="I19:J19"/>
    <mergeCell ref="A20:A21"/>
    <mergeCell ref="C138:F138"/>
    <mergeCell ref="H138:J138"/>
    <mergeCell ref="C137:F137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H137:J137"/>
    <mergeCell ref="B26:H26"/>
    <mergeCell ref="B27:H27"/>
    <mergeCell ref="B25:H25"/>
    <mergeCell ref="J20:J21"/>
    <mergeCell ref="B22:F22"/>
    <mergeCell ref="G20:G21"/>
    <mergeCell ref="H20:H21"/>
    <mergeCell ref="B24:F24"/>
    <mergeCell ref="I26:I27"/>
    <mergeCell ref="I24:I25"/>
    <mergeCell ref="J24:J25"/>
    <mergeCell ref="J26:J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7B91-C303-47E1-9A0D-628BCF76A9EE}">
  <dimension ref="A1:O300"/>
  <sheetViews>
    <sheetView zoomScale="70" zoomScaleNormal="70" zoomScaleSheetLayoutView="80" workbookViewId="0">
      <selection activeCell="A152" sqref="A152"/>
    </sheetView>
  </sheetViews>
  <sheetFormatPr defaultColWidth="9.109375" defaultRowHeight="18"/>
  <cols>
    <col min="1" max="1" width="89.88671875" style="2" customWidth="1"/>
    <col min="2" max="2" width="14.88671875" style="12" customWidth="1"/>
    <col min="3" max="5" width="19.88671875" style="12" customWidth="1"/>
    <col min="6" max="15" width="19.88671875" style="2" customWidth="1"/>
    <col min="16" max="16" width="9.109375" style="2" customWidth="1"/>
    <col min="17" max="16384" width="9.109375" style="2"/>
  </cols>
  <sheetData>
    <row r="1" spans="1:15">
      <c r="A1" s="295" t="s">
        <v>140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6"/>
      <c r="M1" s="296"/>
      <c r="N1" s="296"/>
    </row>
    <row r="2" spans="1:15" ht="13.5" customHeight="1">
      <c r="B2" s="126"/>
      <c r="C2" s="126"/>
      <c r="D2" s="126"/>
      <c r="E2" s="126"/>
    </row>
    <row r="3" spans="1:15">
      <c r="A3" s="283" t="s">
        <v>141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19" t="s">
        <v>142</v>
      </c>
      <c r="B5" s="280" t="s">
        <v>143</v>
      </c>
      <c r="C5" s="281"/>
      <c r="D5" s="281"/>
      <c r="E5" s="281"/>
      <c r="F5" s="264" t="s">
        <v>144</v>
      </c>
      <c r="G5" s="264"/>
      <c r="H5" s="264"/>
      <c r="I5" s="264"/>
      <c r="J5" s="264"/>
      <c r="K5" s="264"/>
      <c r="L5" s="264"/>
      <c r="M5" s="264"/>
      <c r="N5" s="264"/>
      <c r="O5" s="264"/>
    </row>
    <row r="6" spans="1:15" ht="18.75" customHeight="1">
      <c r="A6" s="119">
        <v>1</v>
      </c>
      <c r="B6" s="280">
        <v>2</v>
      </c>
      <c r="C6" s="281"/>
      <c r="D6" s="281"/>
      <c r="E6" s="281"/>
      <c r="F6" s="264">
        <v>3</v>
      </c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customHeight="1">
      <c r="A7" s="28"/>
      <c r="B7" s="297"/>
      <c r="C7" s="298"/>
      <c r="D7" s="298"/>
      <c r="E7" s="298"/>
      <c r="F7" s="299"/>
      <c r="G7" s="299"/>
      <c r="H7" s="299"/>
      <c r="I7" s="299"/>
      <c r="J7" s="299"/>
      <c r="K7" s="299"/>
      <c r="L7" s="299"/>
      <c r="M7" s="299"/>
      <c r="N7" s="299"/>
      <c r="O7" s="299"/>
    </row>
    <row r="8" spans="1:15">
      <c r="A8" s="22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ht="18.75" customHeight="1">
      <c r="A9" s="287" t="s">
        <v>145</v>
      </c>
      <c r="B9" s="288"/>
      <c r="C9" s="288"/>
      <c r="D9" s="288"/>
      <c r="E9" s="288"/>
      <c r="F9" s="288"/>
      <c r="G9" s="288"/>
      <c r="H9" s="288"/>
      <c r="I9" s="288"/>
      <c r="J9" s="288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60" t="s">
        <v>146</v>
      </c>
      <c r="B11" s="268" t="s">
        <v>147</v>
      </c>
      <c r="C11" s="269"/>
      <c r="D11" s="255" t="s">
        <v>502</v>
      </c>
      <c r="E11" s="255"/>
      <c r="F11" s="255"/>
      <c r="G11" s="255" t="s">
        <v>503</v>
      </c>
      <c r="H11" s="255"/>
      <c r="I11" s="255"/>
      <c r="J11" s="268" t="s">
        <v>504</v>
      </c>
      <c r="K11" s="274"/>
      <c r="L11" s="269"/>
      <c r="M11" s="255" t="s">
        <v>505</v>
      </c>
      <c r="N11" s="255"/>
      <c r="O11" s="255"/>
    </row>
    <row r="12" spans="1:15" ht="150" customHeight="1">
      <c r="A12" s="261"/>
      <c r="B12" s="114" t="s">
        <v>148</v>
      </c>
      <c r="C12" s="114" t="s">
        <v>149</v>
      </c>
      <c r="D12" s="114" t="s">
        <v>150</v>
      </c>
      <c r="E12" s="114" t="s">
        <v>151</v>
      </c>
      <c r="F12" s="114" t="s">
        <v>152</v>
      </c>
      <c r="G12" s="114" t="s">
        <v>150</v>
      </c>
      <c r="H12" s="114" t="s">
        <v>151</v>
      </c>
      <c r="I12" s="114" t="s">
        <v>152</v>
      </c>
      <c r="J12" s="114" t="s">
        <v>150</v>
      </c>
      <c r="K12" s="114" t="s">
        <v>151</v>
      </c>
      <c r="L12" s="114" t="s">
        <v>152</v>
      </c>
      <c r="M12" s="114" t="s">
        <v>150</v>
      </c>
      <c r="N12" s="114" t="s">
        <v>151</v>
      </c>
      <c r="O12" s="114" t="s">
        <v>152</v>
      </c>
    </row>
    <row r="13" spans="1:15">
      <c r="A13" s="114">
        <v>1</v>
      </c>
      <c r="B13" s="114">
        <v>2</v>
      </c>
      <c r="C13" s="114">
        <v>3</v>
      </c>
      <c r="D13" s="114">
        <v>4</v>
      </c>
      <c r="E13" s="114">
        <v>5</v>
      </c>
      <c r="F13" s="114">
        <v>6</v>
      </c>
      <c r="G13" s="114">
        <v>7</v>
      </c>
      <c r="H13" s="116">
        <v>8</v>
      </c>
      <c r="I13" s="116">
        <v>9</v>
      </c>
      <c r="J13" s="116">
        <v>10</v>
      </c>
      <c r="K13" s="116">
        <v>11</v>
      </c>
      <c r="L13" s="116">
        <v>12</v>
      </c>
      <c r="M13" s="116">
        <v>13</v>
      </c>
      <c r="N13" s="116">
        <v>14</v>
      </c>
      <c r="O13" s="116">
        <v>15</v>
      </c>
    </row>
    <row r="14" spans="1:15">
      <c r="A14" s="5" t="s">
        <v>399</v>
      </c>
      <c r="B14" s="151">
        <f>D14/D17*100</f>
        <v>48.880473835120448</v>
      </c>
      <c r="C14" s="151">
        <f>G14/G17*100</f>
        <v>50.880323537752183</v>
      </c>
      <c r="D14" s="32">
        <v>175164.4</v>
      </c>
      <c r="E14" s="32">
        <v>11953.9</v>
      </c>
      <c r="F14" s="152">
        <f>ROUND(D14/E14,2)</f>
        <v>14.65</v>
      </c>
      <c r="G14" s="32">
        <v>208492.2</v>
      </c>
      <c r="H14" s="32">
        <v>11938.3</v>
      </c>
      <c r="I14" s="152">
        <f>ROUND(G14/H14,2)</f>
        <v>17.46</v>
      </c>
      <c r="J14" s="32">
        <v>155920.4</v>
      </c>
      <c r="K14" s="32">
        <v>8919.7999999999993</v>
      </c>
      <c r="L14" s="152">
        <f>ROUND(J14/K14,2)</f>
        <v>17.48</v>
      </c>
      <c r="M14" s="32">
        <v>213979.6</v>
      </c>
      <c r="N14" s="32">
        <v>11831.5</v>
      </c>
      <c r="O14" s="152">
        <f>ROUND(M14/N14,2)</f>
        <v>18.09</v>
      </c>
    </row>
    <row r="15" spans="1:15">
      <c r="A15" s="5" t="s">
        <v>400</v>
      </c>
      <c r="B15" s="151">
        <f>D15/D17*100</f>
        <v>40.734081665399295</v>
      </c>
      <c r="C15" s="151">
        <f>G15/G17*100</f>
        <v>39.756785395116964</v>
      </c>
      <c r="D15" s="32">
        <v>145971.6</v>
      </c>
      <c r="E15" s="32">
        <v>10471.200000000001</v>
      </c>
      <c r="F15" s="152">
        <f>ROUND(D15/E15,2)</f>
        <v>13.94</v>
      </c>
      <c r="G15" s="32">
        <v>162911.29999999999</v>
      </c>
      <c r="H15" s="32">
        <v>10460.200000000001</v>
      </c>
      <c r="I15" s="152">
        <f>ROUND(G15/H15,2)</f>
        <v>15.57</v>
      </c>
      <c r="J15" s="32">
        <v>123019.2</v>
      </c>
      <c r="K15" s="32">
        <v>7883.6</v>
      </c>
      <c r="L15" s="152">
        <f>ROUND(J15/K15,2)</f>
        <v>15.6</v>
      </c>
      <c r="M15" s="32">
        <v>167934.8</v>
      </c>
      <c r="N15" s="32">
        <v>10511.499999999998</v>
      </c>
      <c r="O15" s="152">
        <f>ROUND(M15/N15,2)</f>
        <v>15.98</v>
      </c>
    </row>
    <row r="16" spans="1:15">
      <c r="A16" s="5" t="s">
        <v>401</v>
      </c>
      <c r="B16" s="151">
        <f>D16/D17*100</f>
        <v>10.385444499480261</v>
      </c>
      <c r="C16" s="151">
        <f>G16/G17*100</f>
        <v>9.3628910671308638</v>
      </c>
      <c r="D16" s="32">
        <v>37216.5</v>
      </c>
      <c r="E16" s="30"/>
      <c r="F16" s="32"/>
      <c r="G16" s="32">
        <v>38366.300000000003</v>
      </c>
      <c r="H16" s="30"/>
      <c r="I16" s="32"/>
      <c r="J16" s="32">
        <v>27927.1</v>
      </c>
      <c r="K16" s="30"/>
      <c r="L16" s="32"/>
      <c r="M16" s="32">
        <v>40851.1</v>
      </c>
      <c r="N16" s="30"/>
      <c r="O16" s="32"/>
    </row>
    <row r="17" spans="1:15">
      <c r="A17" s="7" t="s">
        <v>153</v>
      </c>
      <c r="B17" s="39">
        <v>100</v>
      </c>
      <c r="C17" s="39">
        <v>100</v>
      </c>
      <c r="D17" s="150">
        <f>SUM(D14:D16)</f>
        <v>358352.5</v>
      </c>
      <c r="E17" s="31"/>
      <c r="F17" s="33"/>
      <c r="G17" s="150">
        <f>SUM(G14:G16)</f>
        <v>409769.8</v>
      </c>
      <c r="H17" s="31"/>
      <c r="I17" s="33"/>
      <c r="J17" s="150">
        <f>SUM(J14:J16)</f>
        <v>306866.69999999995</v>
      </c>
      <c r="K17" s="31"/>
      <c r="L17" s="33"/>
      <c r="M17" s="150">
        <f>SUM(M14:M16)</f>
        <v>422765.5</v>
      </c>
      <c r="N17" s="31"/>
      <c r="O17" s="33"/>
    </row>
    <row r="19" spans="1:15">
      <c r="A19" s="283" t="s">
        <v>154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</row>
    <row r="20" spans="1:15" ht="11.25" customHeight="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5" ht="44.25" customHeight="1">
      <c r="A21" s="290" t="s">
        <v>20</v>
      </c>
      <c r="B21" s="260" t="s">
        <v>21</v>
      </c>
      <c r="C21" s="260" t="s">
        <v>497</v>
      </c>
      <c r="D21" s="260" t="s">
        <v>498</v>
      </c>
      <c r="E21" s="275" t="s">
        <v>506</v>
      </c>
      <c r="F21" s="260" t="s">
        <v>507</v>
      </c>
      <c r="G21" s="268" t="s">
        <v>155</v>
      </c>
      <c r="H21" s="274"/>
      <c r="I21" s="274"/>
      <c r="J21" s="269"/>
      <c r="K21" s="306" t="s">
        <v>156</v>
      </c>
      <c r="L21" s="307"/>
      <c r="M21" s="307"/>
      <c r="N21" s="307"/>
      <c r="O21" s="307"/>
    </row>
    <row r="22" spans="1:15" ht="52.5" customHeight="1">
      <c r="A22" s="291"/>
      <c r="B22" s="261"/>
      <c r="C22" s="261"/>
      <c r="D22" s="261"/>
      <c r="E22" s="276"/>
      <c r="F22" s="261"/>
      <c r="G22" s="122" t="s">
        <v>157</v>
      </c>
      <c r="H22" s="122" t="s">
        <v>158</v>
      </c>
      <c r="I22" s="122" t="s">
        <v>159</v>
      </c>
      <c r="J22" s="122" t="s">
        <v>160</v>
      </c>
      <c r="K22" s="255"/>
      <c r="L22" s="307"/>
      <c r="M22" s="307"/>
      <c r="N22" s="307"/>
      <c r="O22" s="307"/>
    </row>
    <row r="23" spans="1:15">
      <c r="A23" s="116">
        <v>1</v>
      </c>
      <c r="B23" s="114">
        <v>2</v>
      </c>
      <c r="C23" s="114">
        <v>3</v>
      </c>
      <c r="D23" s="114">
        <v>4</v>
      </c>
      <c r="E23" s="114">
        <v>5</v>
      </c>
      <c r="F23" s="114">
        <v>6</v>
      </c>
      <c r="G23" s="114">
        <v>7</v>
      </c>
      <c r="H23" s="114">
        <v>8</v>
      </c>
      <c r="I23" s="114">
        <v>9</v>
      </c>
      <c r="J23" s="114">
        <v>10</v>
      </c>
      <c r="K23" s="280">
        <v>11</v>
      </c>
      <c r="L23" s="281"/>
      <c r="M23" s="281"/>
      <c r="N23" s="281"/>
      <c r="O23" s="281"/>
    </row>
    <row r="24" spans="1:15" s="4" customFormat="1" ht="18.75" customHeight="1">
      <c r="A24" s="7" t="s">
        <v>24</v>
      </c>
      <c r="B24" s="8">
        <v>1000</v>
      </c>
      <c r="C24" s="153">
        <v>358352.5</v>
      </c>
      <c r="D24" s="153">
        <v>409769.8</v>
      </c>
      <c r="E24" s="153">
        <v>408576.6</v>
      </c>
      <c r="F24" s="154">
        <f>SUM(G24:J24)</f>
        <v>422765.5</v>
      </c>
      <c r="G24" s="153">
        <v>104976.2</v>
      </c>
      <c r="H24" s="153">
        <v>106037.8</v>
      </c>
      <c r="I24" s="153">
        <v>106610.5</v>
      </c>
      <c r="J24" s="153">
        <v>105141</v>
      </c>
      <c r="K24" s="259"/>
      <c r="L24" s="259"/>
      <c r="M24" s="259"/>
      <c r="N24" s="259"/>
      <c r="O24" s="259"/>
    </row>
    <row r="25" spans="1:15" s="4" customFormat="1" ht="18.75" customHeight="1">
      <c r="A25" s="7" t="s">
        <v>25</v>
      </c>
      <c r="B25" s="8">
        <v>1010</v>
      </c>
      <c r="C25" s="154">
        <f>SUM(C26:C37)</f>
        <v>-379841.4</v>
      </c>
      <c r="D25" s="154">
        <f>SUM(D26:D37)</f>
        <v>-435203.80000000005</v>
      </c>
      <c r="E25" s="154">
        <f>SUM(E26:E37)</f>
        <v>-422520.8</v>
      </c>
      <c r="F25" s="154">
        <f>SUM(G25:J25)</f>
        <v>-480929.50000000006</v>
      </c>
      <c r="G25" s="154">
        <f>SUM(G26:G37)</f>
        <v>-110611.60000000002</v>
      </c>
      <c r="H25" s="154">
        <f>SUM(H26:H37)</f>
        <v>-121110.20000000001</v>
      </c>
      <c r="I25" s="154">
        <f>SUM(I26:I37)</f>
        <v>-127149.3</v>
      </c>
      <c r="J25" s="154">
        <f>SUM(J26:J37)</f>
        <v>-122058.40000000002</v>
      </c>
      <c r="K25" s="259"/>
      <c r="L25" s="259"/>
      <c r="M25" s="259"/>
      <c r="N25" s="259"/>
      <c r="O25" s="259"/>
    </row>
    <row r="26" spans="1:15" ht="18.75" customHeight="1">
      <c r="A26" s="5" t="s">
        <v>161</v>
      </c>
      <c r="B26" s="114">
        <v>1011</v>
      </c>
      <c r="C26" s="155">
        <v>-23095.4</v>
      </c>
      <c r="D26" s="155">
        <v>-22812.2</v>
      </c>
      <c r="E26" s="155">
        <v>-21024.5</v>
      </c>
      <c r="F26" s="156">
        <f t="shared" ref="F26:F99" si="0">SUM(G26:J26)</f>
        <v>-23382.7</v>
      </c>
      <c r="G26" s="155">
        <v>-4277.3999999999996</v>
      </c>
      <c r="H26" s="155">
        <v>-6820.5</v>
      </c>
      <c r="I26" s="155">
        <v>-6291.1</v>
      </c>
      <c r="J26" s="155">
        <v>-5993.7</v>
      </c>
      <c r="K26" s="289"/>
      <c r="L26" s="289"/>
      <c r="M26" s="289"/>
      <c r="N26" s="289"/>
      <c r="O26" s="289"/>
    </row>
    <row r="27" spans="1:15" ht="18.75" customHeight="1">
      <c r="A27" s="5" t="s">
        <v>163</v>
      </c>
      <c r="B27" s="114">
        <v>1012</v>
      </c>
      <c r="C27" s="155">
        <v>-7816.1</v>
      </c>
      <c r="D27" s="155">
        <v>-8662.0999999999985</v>
      </c>
      <c r="E27" s="155">
        <f>-8170.6</f>
        <v>-8170.6</v>
      </c>
      <c r="F27" s="156">
        <f t="shared" si="0"/>
        <v>-9807.2999999999993</v>
      </c>
      <c r="G27" s="155">
        <v>-2303.5</v>
      </c>
      <c r="H27" s="155">
        <v>-2495.1999999999998</v>
      </c>
      <c r="I27" s="155">
        <v>-2482.4</v>
      </c>
      <c r="J27" s="155">
        <v>-2526.1999999999998</v>
      </c>
      <c r="K27" s="289"/>
      <c r="L27" s="289"/>
      <c r="M27" s="289"/>
      <c r="N27" s="289"/>
      <c r="O27" s="289"/>
    </row>
    <row r="28" spans="1:15" ht="18.75" customHeight="1">
      <c r="A28" s="204" t="s">
        <v>525</v>
      </c>
      <c r="B28" s="203" t="s">
        <v>524</v>
      </c>
      <c r="C28" s="155">
        <v>0</v>
      </c>
      <c r="D28" s="155">
        <v>0</v>
      </c>
      <c r="E28" s="155">
        <v>-5846.4</v>
      </c>
      <c r="F28" s="156">
        <f t="shared" si="0"/>
        <v>-2879.4</v>
      </c>
      <c r="G28" s="155">
        <v>-2879.4</v>
      </c>
      <c r="H28" s="155">
        <v>0</v>
      </c>
      <c r="I28" s="155">
        <v>0</v>
      </c>
      <c r="J28" s="155">
        <v>0</v>
      </c>
      <c r="K28" s="292"/>
      <c r="L28" s="293"/>
      <c r="M28" s="293"/>
      <c r="N28" s="293"/>
      <c r="O28" s="294"/>
    </row>
    <row r="29" spans="1:15" ht="18.75" customHeight="1">
      <c r="A29" s="204" t="s">
        <v>164</v>
      </c>
      <c r="B29" s="114">
        <v>1013</v>
      </c>
      <c r="C29" s="155">
        <v>-102648.4</v>
      </c>
      <c r="D29" s="155">
        <v>-131779.09999999998</v>
      </c>
      <c r="E29" s="155">
        <v>-104192.8</v>
      </c>
      <c r="F29" s="156">
        <f t="shared" si="0"/>
        <v>-137329.29999999999</v>
      </c>
      <c r="G29" s="155">
        <v>-21846</v>
      </c>
      <c r="H29" s="155">
        <v>-36906.300000000003</v>
      </c>
      <c r="I29" s="155">
        <v>-38069.199999999997</v>
      </c>
      <c r="J29" s="155">
        <v>-40507.800000000003</v>
      </c>
      <c r="K29" s="289"/>
      <c r="L29" s="289"/>
      <c r="M29" s="289"/>
      <c r="N29" s="289"/>
      <c r="O29" s="289"/>
    </row>
    <row r="30" spans="1:15" ht="18.75" customHeight="1">
      <c r="A30" s="204" t="s">
        <v>526</v>
      </c>
      <c r="B30" s="203" t="s">
        <v>523</v>
      </c>
      <c r="C30" s="155">
        <v>0</v>
      </c>
      <c r="D30" s="155">
        <v>0</v>
      </c>
      <c r="E30" s="155">
        <v>-6744</v>
      </c>
      <c r="F30" s="156">
        <f t="shared" si="0"/>
        <v>-7152.5</v>
      </c>
      <c r="G30" s="155">
        <v>-7152.5</v>
      </c>
      <c r="H30" s="155">
        <v>0</v>
      </c>
      <c r="I30" s="155">
        <v>0</v>
      </c>
      <c r="J30" s="155">
        <v>0</v>
      </c>
      <c r="K30" s="292"/>
      <c r="L30" s="293"/>
      <c r="M30" s="293"/>
      <c r="N30" s="293"/>
      <c r="O30" s="294"/>
    </row>
    <row r="31" spans="1:15" ht="18.75" customHeight="1">
      <c r="A31" s="5" t="s">
        <v>111</v>
      </c>
      <c r="B31" s="114">
        <v>1014</v>
      </c>
      <c r="C31" s="155">
        <v>-101616.8</v>
      </c>
      <c r="D31" s="155">
        <v>-109989</v>
      </c>
      <c r="E31" s="155">
        <f>-112173.9</f>
        <v>-112173.9</v>
      </c>
      <c r="F31" s="156">
        <f t="shared" si="0"/>
        <v>-122586.59999999999</v>
      </c>
      <c r="G31" s="155">
        <v>-30204.7</v>
      </c>
      <c r="H31" s="155">
        <v>-30558.3</v>
      </c>
      <c r="I31" s="155">
        <v>-30911.9</v>
      </c>
      <c r="J31" s="155">
        <v>-30911.7</v>
      </c>
      <c r="K31" s="289"/>
      <c r="L31" s="289"/>
      <c r="M31" s="289"/>
      <c r="N31" s="289"/>
      <c r="O31" s="289"/>
    </row>
    <row r="32" spans="1:15" ht="18.75" customHeight="1">
      <c r="A32" s="5" t="s">
        <v>165</v>
      </c>
      <c r="B32" s="114">
        <v>1015</v>
      </c>
      <c r="C32" s="155">
        <v>-21561.200000000001</v>
      </c>
      <c r="D32" s="155">
        <v>-23314.400000000001</v>
      </c>
      <c r="E32" s="155">
        <v>-23900.2</v>
      </c>
      <c r="F32" s="156">
        <f>SUM(G32:J32)</f>
        <v>-26116.199999999997</v>
      </c>
      <c r="G32" s="155">
        <v>-6434.8</v>
      </c>
      <c r="H32" s="155">
        <v>-6510.2</v>
      </c>
      <c r="I32" s="155">
        <v>-6585.6</v>
      </c>
      <c r="J32" s="155">
        <v>-6585.6</v>
      </c>
      <c r="K32" s="289"/>
      <c r="L32" s="289"/>
      <c r="M32" s="289"/>
      <c r="N32" s="289"/>
      <c r="O32" s="289"/>
    </row>
    <row r="33" spans="1:15" ht="46.5" customHeight="1">
      <c r="A33" s="5" t="s">
        <v>166</v>
      </c>
      <c r="B33" s="114">
        <v>1016</v>
      </c>
      <c r="C33" s="155">
        <v>-12509.7</v>
      </c>
      <c r="D33" s="155">
        <v>-12584.400000000001</v>
      </c>
      <c r="E33" s="155">
        <v>-12566.5</v>
      </c>
      <c r="F33" s="156">
        <f t="shared" si="0"/>
        <v>-13970.199999999999</v>
      </c>
      <c r="G33" s="155">
        <f>-2426</f>
        <v>-2426</v>
      </c>
      <c r="H33" s="155">
        <f>-2551.2</f>
        <v>-2551.1999999999998</v>
      </c>
      <c r="I33" s="155">
        <v>-6249.1</v>
      </c>
      <c r="J33" s="155">
        <v>-2743.9</v>
      </c>
      <c r="K33" s="289"/>
      <c r="L33" s="289"/>
      <c r="M33" s="289"/>
      <c r="N33" s="289"/>
      <c r="O33" s="289"/>
    </row>
    <row r="34" spans="1:15" ht="18.75" customHeight="1">
      <c r="A34" s="5" t="s">
        <v>167</v>
      </c>
      <c r="B34" s="114">
        <v>1017</v>
      </c>
      <c r="C34" s="155">
        <v>-60734.5</v>
      </c>
      <c r="D34" s="155">
        <v>-64538.400000000001</v>
      </c>
      <c r="E34" s="155">
        <v>-64750.3</v>
      </c>
      <c r="F34" s="156">
        <f t="shared" si="0"/>
        <v>-68633.600000000006</v>
      </c>
      <c r="G34" s="155">
        <v>-17158.400000000001</v>
      </c>
      <c r="H34" s="155">
        <v>-17158.400000000001</v>
      </c>
      <c r="I34" s="155">
        <v>-17158.400000000001</v>
      </c>
      <c r="J34" s="155">
        <v>-17158.400000000001</v>
      </c>
      <c r="K34" s="289"/>
      <c r="L34" s="289"/>
      <c r="M34" s="289"/>
      <c r="N34" s="289"/>
      <c r="O34" s="289"/>
    </row>
    <row r="35" spans="1:15" ht="18.75" customHeight="1">
      <c r="A35" s="5" t="s">
        <v>404</v>
      </c>
      <c r="B35" s="114" t="s">
        <v>402</v>
      </c>
      <c r="C35" s="155">
        <v>-9804.7000000000007</v>
      </c>
      <c r="D35" s="155">
        <v>-10604.1</v>
      </c>
      <c r="E35" s="155">
        <v>-11453.8</v>
      </c>
      <c r="F35" s="156">
        <f t="shared" si="0"/>
        <v>-11453.8</v>
      </c>
      <c r="G35" s="155">
        <v>-2932.7</v>
      </c>
      <c r="H35" s="155">
        <v>-2838.6</v>
      </c>
      <c r="I35" s="155">
        <v>-2920.4</v>
      </c>
      <c r="J35" s="155">
        <v>-2762.1</v>
      </c>
      <c r="K35" s="292"/>
      <c r="L35" s="293"/>
      <c r="M35" s="293"/>
      <c r="N35" s="293"/>
      <c r="O35" s="294"/>
    </row>
    <row r="36" spans="1:15" ht="18.75" customHeight="1">
      <c r="A36" s="5" t="s">
        <v>405</v>
      </c>
      <c r="B36" s="130" t="s">
        <v>403</v>
      </c>
      <c r="C36" s="155">
        <v>-4037.6</v>
      </c>
      <c r="D36" s="155">
        <v>-4010.8999999999996</v>
      </c>
      <c r="E36" s="155">
        <v>-4010.9</v>
      </c>
      <c r="F36" s="156">
        <f t="shared" si="0"/>
        <v>-4010.8999999999996</v>
      </c>
      <c r="G36" s="155">
        <v>-1056.5999999999999</v>
      </c>
      <c r="H36" s="155">
        <v>-977.7</v>
      </c>
      <c r="I36" s="155">
        <v>-952.4</v>
      </c>
      <c r="J36" s="155">
        <v>-1024.2</v>
      </c>
      <c r="K36" s="277"/>
      <c r="L36" s="278"/>
      <c r="M36" s="278"/>
      <c r="N36" s="278"/>
      <c r="O36" s="279"/>
    </row>
    <row r="37" spans="1:15" ht="18.75" customHeight="1">
      <c r="A37" s="5" t="s">
        <v>168</v>
      </c>
      <c r="B37" s="114">
        <v>1019</v>
      </c>
      <c r="C37" s="155">
        <f>SUM(C38:C43)</f>
        <v>-36017</v>
      </c>
      <c r="D37" s="155">
        <f t="shared" ref="D37:J37" si="1">SUM(D38:D43)</f>
        <v>-46909.200000000004</v>
      </c>
      <c r="E37" s="155">
        <f t="shared" si="1"/>
        <v>-47686.9</v>
      </c>
      <c r="F37" s="156">
        <f t="shared" si="1"/>
        <v>-53607</v>
      </c>
      <c r="G37" s="155">
        <f>SUM(G38:G43)</f>
        <v>-11939.6</v>
      </c>
      <c r="H37" s="155">
        <f t="shared" si="1"/>
        <v>-14293.8</v>
      </c>
      <c r="I37" s="155">
        <f t="shared" si="1"/>
        <v>-15528.8</v>
      </c>
      <c r="J37" s="155">
        <f t="shared" si="1"/>
        <v>-11844.8</v>
      </c>
      <c r="K37" s="259"/>
      <c r="L37" s="259"/>
      <c r="M37" s="259"/>
      <c r="N37" s="259"/>
      <c r="O37" s="259"/>
    </row>
    <row r="38" spans="1:15" ht="18.75" customHeight="1">
      <c r="A38" s="5" t="s">
        <v>406</v>
      </c>
      <c r="B38" s="130" t="s">
        <v>412</v>
      </c>
      <c r="C38" s="155">
        <v>0</v>
      </c>
      <c r="D38" s="155">
        <v>-6114.7</v>
      </c>
      <c r="E38" s="155">
        <v>-4974.3</v>
      </c>
      <c r="F38" s="156">
        <f t="shared" si="0"/>
        <v>-5536.4</v>
      </c>
      <c r="G38" s="155">
        <v>0</v>
      </c>
      <c r="H38" s="155">
        <v>-2450.6</v>
      </c>
      <c r="I38" s="155">
        <v>-3085.8</v>
      </c>
      <c r="J38" s="155">
        <v>0</v>
      </c>
      <c r="K38" s="277"/>
      <c r="L38" s="278"/>
      <c r="M38" s="278"/>
      <c r="N38" s="278"/>
      <c r="O38" s="279"/>
    </row>
    <row r="39" spans="1:15" ht="18.75" customHeight="1">
      <c r="A39" s="5" t="s">
        <v>407</v>
      </c>
      <c r="B39" s="130" t="s">
        <v>413</v>
      </c>
      <c r="C39" s="155">
        <v>-16307.3</v>
      </c>
      <c r="D39" s="155">
        <v>-20070.600000000002</v>
      </c>
      <c r="E39" s="155">
        <v>-18280.2</v>
      </c>
      <c r="F39" s="156">
        <f t="shared" si="0"/>
        <v>-21651.5</v>
      </c>
      <c r="G39" s="155">
        <v>-5324.4</v>
      </c>
      <c r="H39" s="155">
        <v>-5416</v>
      </c>
      <c r="I39" s="155">
        <v>-5498.2</v>
      </c>
      <c r="J39" s="155">
        <v>-5412.9</v>
      </c>
      <c r="K39" s="277"/>
      <c r="L39" s="278"/>
      <c r="M39" s="278"/>
      <c r="N39" s="278"/>
      <c r="O39" s="279"/>
    </row>
    <row r="40" spans="1:15" ht="18.75" customHeight="1">
      <c r="A40" s="5" t="s">
        <v>408</v>
      </c>
      <c r="B40" s="130" t="s">
        <v>414</v>
      </c>
      <c r="C40" s="155">
        <v>-837.3</v>
      </c>
      <c r="D40" s="155">
        <v>-837.2</v>
      </c>
      <c r="E40" s="155">
        <v>-4648.7</v>
      </c>
      <c r="F40" s="156">
        <f t="shared" si="0"/>
        <v>-4643.2</v>
      </c>
      <c r="G40" s="155">
        <v>-1160.8</v>
      </c>
      <c r="H40" s="155">
        <v>-1160.8</v>
      </c>
      <c r="I40" s="155">
        <v>-1160.8</v>
      </c>
      <c r="J40" s="155">
        <v>-1160.8</v>
      </c>
      <c r="K40" s="277"/>
      <c r="L40" s="278"/>
      <c r="M40" s="278"/>
      <c r="N40" s="278"/>
      <c r="O40" s="279"/>
    </row>
    <row r="41" spans="1:15" ht="18.75" customHeight="1">
      <c r="A41" s="5" t="s">
        <v>409</v>
      </c>
      <c r="B41" s="130" t="s">
        <v>415</v>
      </c>
      <c r="C41" s="155">
        <v>-6132.4</v>
      </c>
      <c r="D41" s="155">
        <v>-6425.9</v>
      </c>
      <c r="E41" s="155">
        <v>-6261.8</v>
      </c>
      <c r="F41" s="156">
        <f t="shared" si="0"/>
        <v>-6261.7999999999993</v>
      </c>
      <c r="G41" s="155">
        <v>-1568.3</v>
      </c>
      <c r="H41" s="155">
        <v>-1574.3</v>
      </c>
      <c r="I41" s="155">
        <v>-1559.6</v>
      </c>
      <c r="J41" s="155">
        <v>-1559.6</v>
      </c>
      <c r="K41" s="277"/>
      <c r="L41" s="278"/>
      <c r="M41" s="278"/>
      <c r="N41" s="278"/>
      <c r="O41" s="279"/>
    </row>
    <row r="42" spans="1:15" ht="18.75" customHeight="1">
      <c r="A42" s="5" t="s">
        <v>410</v>
      </c>
      <c r="B42" s="130" t="s">
        <v>416</v>
      </c>
      <c r="C42" s="155">
        <v>-0.4</v>
      </c>
      <c r="D42" s="155">
        <v>-0.4</v>
      </c>
      <c r="E42" s="155">
        <v>-0.4</v>
      </c>
      <c r="F42" s="156">
        <f t="shared" si="0"/>
        <v>-0.4</v>
      </c>
      <c r="G42" s="155">
        <v>-0.1</v>
      </c>
      <c r="H42" s="155">
        <v>-0.1</v>
      </c>
      <c r="I42" s="155">
        <v>-0.1</v>
      </c>
      <c r="J42" s="155">
        <v>-0.1</v>
      </c>
      <c r="K42" s="277"/>
      <c r="L42" s="278"/>
      <c r="M42" s="278"/>
      <c r="N42" s="278"/>
      <c r="O42" s="279"/>
    </row>
    <row r="43" spans="1:15" ht="54">
      <c r="A43" s="5" t="s">
        <v>411</v>
      </c>
      <c r="B43" s="130" t="s">
        <v>417</v>
      </c>
      <c r="C43" s="155">
        <v>-12739.6</v>
      </c>
      <c r="D43" s="155">
        <v>-13460.4</v>
      </c>
      <c r="E43" s="155">
        <v>-13521.5</v>
      </c>
      <c r="F43" s="156">
        <f t="shared" si="0"/>
        <v>-15513.699999999999</v>
      </c>
      <c r="G43" s="155">
        <v>-3886</v>
      </c>
      <c r="H43" s="155">
        <v>-3692</v>
      </c>
      <c r="I43" s="155">
        <v>-4224.3</v>
      </c>
      <c r="J43" s="155">
        <v>-3711.4</v>
      </c>
      <c r="K43" s="277"/>
      <c r="L43" s="278"/>
      <c r="M43" s="278"/>
      <c r="N43" s="278"/>
      <c r="O43" s="279"/>
    </row>
    <row r="44" spans="1:15" ht="18.75" customHeight="1">
      <c r="A44" s="7" t="s">
        <v>169</v>
      </c>
      <c r="B44" s="8">
        <v>1020</v>
      </c>
      <c r="C44" s="157">
        <f t="shared" ref="C44:J44" si="2">SUM(C24,C25)</f>
        <v>-21488.900000000023</v>
      </c>
      <c r="D44" s="157">
        <f t="shared" si="2"/>
        <v>-25434.000000000058</v>
      </c>
      <c r="E44" s="157">
        <f t="shared" si="2"/>
        <v>-13944.200000000012</v>
      </c>
      <c r="F44" s="157">
        <f t="shared" si="2"/>
        <v>-58164.000000000058</v>
      </c>
      <c r="G44" s="157">
        <f t="shared" si="2"/>
        <v>-5635.4000000000233</v>
      </c>
      <c r="H44" s="157">
        <f t="shared" si="2"/>
        <v>-15072.400000000009</v>
      </c>
      <c r="I44" s="157">
        <f t="shared" si="2"/>
        <v>-20538.800000000003</v>
      </c>
      <c r="J44" s="157">
        <f t="shared" si="2"/>
        <v>-16917.400000000023</v>
      </c>
      <c r="K44" s="259"/>
      <c r="L44" s="259"/>
      <c r="M44" s="259"/>
      <c r="N44" s="259"/>
      <c r="O44" s="259"/>
    </row>
    <row r="45" spans="1:15" s="4" customFormat="1" ht="18.75" customHeight="1">
      <c r="A45" s="7" t="s">
        <v>170</v>
      </c>
      <c r="B45" s="8">
        <v>1030</v>
      </c>
      <c r="C45" s="154">
        <f>SUM(C46:C65,C67)</f>
        <v>-13134.699999999999</v>
      </c>
      <c r="D45" s="154">
        <f>SUM(D46:D65,D67)</f>
        <v>-14165.399999999996</v>
      </c>
      <c r="E45" s="154">
        <f>SUM(E46:E65,E67)</f>
        <v>-15008.000000000002</v>
      </c>
      <c r="F45" s="154">
        <f t="shared" si="0"/>
        <v>-18490.300000000003</v>
      </c>
      <c r="G45" s="154">
        <f>SUM(G46:G65,G67)</f>
        <v>-4881.9000000000005</v>
      </c>
      <c r="H45" s="154">
        <f>SUM(H46:H65,H67)</f>
        <v>-4525.6000000000004</v>
      </c>
      <c r="I45" s="154">
        <f>SUM(I46:I65,I67)</f>
        <v>-4508.2000000000007</v>
      </c>
      <c r="J45" s="154">
        <f>SUM(J46:J65,J67)</f>
        <v>-4574.6000000000004</v>
      </c>
      <c r="K45" s="259"/>
      <c r="L45" s="259"/>
      <c r="M45" s="259"/>
      <c r="N45" s="259"/>
      <c r="O45" s="259"/>
    </row>
    <row r="46" spans="1:15" ht="18.75" customHeight="1">
      <c r="A46" s="5" t="s">
        <v>171</v>
      </c>
      <c r="B46" s="65">
        <v>1031</v>
      </c>
      <c r="C46" s="155">
        <v>-456.9</v>
      </c>
      <c r="D46" s="155">
        <v>-499.29999999999995</v>
      </c>
      <c r="E46" s="155">
        <v>-508.3</v>
      </c>
      <c r="F46" s="156">
        <f t="shared" si="0"/>
        <v>-562.9</v>
      </c>
      <c r="G46" s="155">
        <v>-137.5</v>
      </c>
      <c r="H46" s="155">
        <v>-133.9</v>
      </c>
      <c r="I46" s="155">
        <v>-145.69999999999999</v>
      </c>
      <c r="J46" s="155">
        <v>-145.80000000000001</v>
      </c>
      <c r="K46" s="259"/>
      <c r="L46" s="259"/>
      <c r="M46" s="259"/>
      <c r="N46" s="259"/>
      <c r="O46" s="259"/>
    </row>
    <row r="47" spans="1:15" ht="18.75" customHeight="1">
      <c r="A47" s="5" t="s">
        <v>172</v>
      </c>
      <c r="B47" s="65">
        <v>1032</v>
      </c>
      <c r="C47" s="155">
        <v>0</v>
      </c>
      <c r="D47" s="155">
        <v>0</v>
      </c>
      <c r="E47" s="155">
        <v>0</v>
      </c>
      <c r="F47" s="156">
        <f t="shared" si="0"/>
        <v>0</v>
      </c>
      <c r="G47" s="155">
        <v>0</v>
      </c>
      <c r="H47" s="155">
        <v>0</v>
      </c>
      <c r="I47" s="155">
        <v>0</v>
      </c>
      <c r="J47" s="155">
        <v>0</v>
      </c>
      <c r="K47" s="259"/>
      <c r="L47" s="259"/>
      <c r="M47" s="259"/>
      <c r="N47" s="259"/>
      <c r="O47" s="259"/>
    </row>
    <row r="48" spans="1:15" ht="18.75" customHeight="1">
      <c r="A48" s="5" t="s">
        <v>173</v>
      </c>
      <c r="B48" s="65">
        <v>1033</v>
      </c>
      <c r="C48" s="155">
        <v>0</v>
      </c>
      <c r="D48" s="155">
        <v>0</v>
      </c>
      <c r="E48" s="155">
        <v>0</v>
      </c>
      <c r="F48" s="156">
        <f t="shared" si="0"/>
        <v>0</v>
      </c>
      <c r="G48" s="155">
        <v>0</v>
      </c>
      <c r="H48" s="155">
        <v>0</v>
      </c>
      <c r="I48" s="155">
        <v>0</v>
      </c>
      <c r="J48" s="155">
        <v>0</v>
      </c>
      <c r="K48" s="259"/>
      <c r="L48" s="259"/>
      <c r="M48" s="259"/>
      <c r="N48" s="259"/>
      <c r="O48" s="259"/>
    </row>
    <row r="49" spans="1:15" ht="18.75" customHeight="1">
      <c r="A49" s="5" t="s">
        <v>174</v>
      </c>
      <c r="B49" s="65">
        <v>1034</v>
      </c>
      <c r="C49" s="155">
        <v>0</v>
      </c>
      <c r="D49" s="155">
        <v>0</v>
      </c>
      <c r="E49" s="155">
        <v>0</v>
      </c>
      <c r="F49" s="156">
        <f t="shared" si="0"/>
        <v>0</v>
      </c>
      <c r="G49" s="155">
        <v>0</v>
      </c>
      <c r="H49" s="155">
        <v>0</v>
      </c>
      <c r="I49" s="155">
        <v>0</v>
      </c>
      <c r="J49" s="155">
        <v>0</v>
      </c>
      <c r="K49" s="259"/>
      <c r="L49" s="259"/>
      <c r="M49" s="259"/>
      <c r="N49" s="259"/>
      <c r="O49" s="259"/>
    </row>
    <row r="50" spans="1:15" ht="18.75" customHeight="1">
      <c r="A50" s="5" t="s">
        <v>175</v>
      </c>
      <c r="B50" s="65">
        <v>1035</v>
      </c>
      <c r="C50" s="155">
        <v>-94.6</v>
      </c>
      <c r="D50" s="155">
        <v>-105.1</v>
      </c>
      <c r="E50" s="155">
        <v>-218</v>
      </c>
      <c r="F50" s="156">
        <f t="shared" si="0"/>
        <v>-242.6</v>
      </c>
      <c r="G50" s="155">
        <v>-242.6</v>
      </c>
      <c r="H50" s="155">
        <v>0</v>
      </c>
      <c r="I50" s="155">
        <v>0</v>
      </c>
      <c r="J50" s="155">
        <v>0</v>
      </c>
      <c r="K50" s="259"/>
      <c r="L50" s="259"/>
      <c r="M50" s="259"/>
      <c r="N50" s="259"/>
      <c r="O50" s="259"/>
    </row>
    <row r="51" spans="1:15" ht="18.75" customHeight="1">
      <c r="A51" s="5" t="s">
        <v>176</v>
      </c>
      <c r="B51" s="65">
        <v>1036</v>
      </c>
      <c r="C51" s="155">
        <v>-355.3</v>
      </c>
      <c r="D51" s="155">
        <v>-401.6</v>
      </c>
      <c r="E51" s="155">
        <v>-416</v>
      </c>
      <c r="F51" s="156">
        <f t="shared" si="0"/>
        <v>-463</v>
      </c>
      <c r="G51" s="155">
        <v>-65.7</v>
      </c>
      <c r="H51" s="155">
        <v>-149.69999999999999</v>
      </c>
      <c r="I51" s="155">
        <v>-118.3</v>
      </c>
      <c r="J51" s="155">
        <v>-129.30000000000001</v>
      </c>
      <c r="K51" s="259"/>
      <c r="L51" s="259"/>
      <c r="M51" s="259"/>
      <c r="N51" s="259"/>
      <c r="O51" s="259"/>
    </row>
    <row r="52" spans="1:15" ht="18.75" customHeight="1">
      <c r="A52" s="5" t="s">
        <v>177</v>
      </c>
      <c r="B52" s="65">
        <v>1037</v>
      </c>
      <c r="C52" s="155">
        <v>-13.5</v>
      </c>
      <c r="D52" s="155">
        <v>-15.3</v>
      </c>
      <c r="E52" s="155">
        <v>-15.6</v>
      </c>
      <c r="F52" s="156">
        <f t="shared" si="0"/>
        <v>-17.399999999999999</v>
      </c>
      <c r="G52" s="155">
        <v>-3.9</v>
      </c>
      <c r="H52" s="155">
        <v>-3.9</v>
      </c>
      <c r="I52" s="155">
        <v>-4.8</v>
      </c>
      <c r="J52" s="155">
        <v>-4.8</v>
      </c>
      <c r="K52" s="259"/>
      <c r="L52" s="259"/>
      <c r="M52" s="259"/>
      <c r="N52" s="259"/>
      <c r="O52" s="259"/>
    </row>
    <row r="53" spans="1:15" ht="18.75" customHeight="1">
      <c r="A53" s="5" t="s">
        <v>178</v>
      </c>
      <c r="B53" s="65">
        <v>1038</v>
      </c>
      <c r="C53" s="155">
        <v>-9223.7000000000007</v>
      </c>
      <c r="D53" s="155">
        <v>-9799.1999999999989</v>
      </c>
      <c r="E53" s="155">
        <v>-10156</v>
      </c>
      <c r="F53" s="156">
        <f t="shared" si="0"/>
        <v>-12732.3</v>
      </c>
      <c r="G53" s="155">
        <v>-3183.2</v>
      </c>
      <c r="H53" s="155">
        <v>-3183.2</v>
      </c>
      <c r="I53" s="155">
        <v>-3183</v>
      </c>
      <c r="J53" s="155">
        <v>-3182.9</v>
      </c>
      <c r="K53" s="259"/>
      <c r="L53" s="259"/>
      <c r="M53" s="259"/>
      <c r="N53" s="259"/>
      <c r="O53" s="259"/>
    </row>
    <row r="54" spans="1:15" ht="18.75" customHeight="1">
      <c r="A54" s="5" t="s">
        <v>179</v>
      </c>
      <c r="B54" s="65">
        <v>1039</v>
      </c>
      <c r="C54" s="155">
        <v>-1895.1</v>
      </c>
      <c r="D54" s="155">
        <v>-2016.4</v>
      </c>
      <c r="E54" s="155">
        <v>-2162.8000000000002</v>
      </c>
      <c r="F54" s="156">
        <f t="shared" si="0"/>
        <v>-2712.2</v>
      </c>
      <c r="G54" s="155">
        <v>-678.1</v>
      </c>
      <c r="H54" s="155">
        <v>-678.1</v>
      </c>
      <c r="I54" s="155">
        <v>-678</v>
      </c>
      <c r="J54" s="155">
        <v>-678</v>
      </c>
      <c r="K54" s="259"/>
      <c r="L54" s="259"/>
      <c r="M54" s="259"/>
      <c r="N54" s="259"/>
      <c r="O54" s="259"/>
    </row>
    <row r="55" spans="1:15" ht="36">
      <c r="A55" s="5" t="s">
        <v>180</v>
      </c>
      <c r="B55" s="65">
        <v>1040</v>
      </c>
      <c r="C55" s="155">
        <v>-39.299999999999997</v>
      </c>
      <c r="D55" s="155">
        <v>-40.799999999999997</v>
      </c>
      <c r="E55" s="155">
        <v>-64.7</v>
      </c>
      <c r="F55" s="156">
        <f t="shared" si="0"/>
        <v>-74.400000000000006</v>
      </c>
      <c r="G55" s="155">
        <v>-18.600000000000001</v>
      </c>
      <c r="H55" s="155">
        <v>-18.600000000000001</v>
      </c>
      <c r="I55" s="155">
        <v>-18.600000000000001</v>
      </c>
      <c r="J55" s="155">
        <v>-18.600000000000001</v>
      </c>
      <c r="K55" s="259"/>
      <c r="L55" s="259"/>
      <c r="M55" s="259"/>
      <c r="N55" s="259"/>
      <c r="O55" s="259"/>
    </row>
    <row r="56" spans="1:15" ht="36">
      <c r="A56" s="5" t="s">
        <v>181</v>
      </c>
      <c r="B56" s="65">
        <v>1041</v>
      </c>
      <c r="C56" s="155">
        <v>0</v>
      </c>
      <c r="D56" s="155">
        <v>0</v>
      </c>
      <c r="E56" s="155">
        <v>0</v>
      </c>
      <c r="F56" s="156">
        <f t="shared" si="0"/>
        <v>0</v>
      </c>
      <c r="G56" s="155"/>
      <c r="H56" s="155"/>
      <c r="I56" s="155"/>
      <c r="J56" s="155"/>
      <c r="K56" s="259"/>
      <c r="L56" s="259"/>
      <c r="M56" s="259"/>
      <c r="N56" s="259"/>
      <c r="O56" s="259"/>
    </row>
    <row r="57" spans="1:15" ht="18.75" customHeight="1">
      <c r="A57" s="5" t="s">
        <v>182</v>
      </c>
      <c r="B57" s="65">
        <v>1042</v>
      </c>
      <c r="C57" s="155">
        <v>0</v>
      </c>
      <c r="D57" s="155">
        <v>0</v>
      </c>
      <c r="E57" s="155">
        <v>0</v>
      </c>
      <c r="F57" s="156">
        <f t="shared" si="0"/>
        <v>0</v>
      </c>
      <c r="G57" s="155"/>
      <c r="H57" s="155"/>
      <c r="I57" s="155"/>
      <c r="J57" s="155"/>
      <c r="K57" s="259"/>
      <c r="L57" s="259"/>
      <c r="M57" s="259"/>
      <c r="N57" s="259"/>
      <c r="O57" s="259"/>
    </row>
    <row r="58" spans="1:15" ht="18.75" customHeight="1">
      <c r="A58" s="5" t="s">
        <v>183</v>
      </c>
      <c r="B58" s="65">
        <v>1043</v>
      </c>
      <c r="C58" s="155">
        <v>0</v>
      </c>
      <c r="D58" s="155">
        <v>0</v>
      </c>
      <c r="E58" s="155">
        <v>0</v>
      </c>
      <c r="F58" s="156">
        <f t="shared" si="0"/>
        <v>0</v>
      </c>
      <c r="G58" s="155"/>
      <c r="H58" s="155"/>
      <c r="I58" s="155"/>
      <c r="J58" s="155"/>
      <c r="K58" s="259"/>
      <c r="L58" s="259"/>
      <c r="M58" s="259"/>
      <c r="N58" s="259"/>
      <c r="O58" s="259"/>
    </row>
    <row r="59" spans="1:15" ht="18.75" customHeight="1">
      <c r="A59" s="5" t="s">
        <v>184</v>
      </c>
      <c r="B59" s="65">
        <v>1044</v>
      </c>
      <c r="C59" s="155">
        <v>0</v>
      </c>
      <c r="D59" s="155">
        <v>0</v>
      </c>
      <c r="E59" s="155">
        <v>0</v>
      </c>
      <c r="F59" s="156">
        <f t="shared" si="0"/>
        <v>0</v>
      </c>
      <c r="G59" s="155"/>
      <c r="H59" s="155"/>
      <c r="I59" s="155"/>
      <c r="J59" s="155"/>
      <c r="K59" s="259"/>
      <c r="L59" s="259"/>
      <c r="M59" s="259"/>
      <c r="N59" s="259"/>
      <c r="O59" s="259"/>
    </row>
    <row r="60" spans="1:15" ht="18.75" customHeight="1">
      <c r="A60" s="5" t="s">
        <v>185</v>
      </c>
      <c r="B60" s="65">
        <v>1045</v>
      </c>
      <c r="C60" s="155">
        <v>-34.5</v>
      </c>
      <c r="D60" s="155">
        <v>-49.1</v>
      </c>
      <c r="E60" s="155">
        <v>-26.4</v>
      </c>
      <c r="F60" s="156">
        <f t="shared" si="0"/>
        <v>-29.2</v>
      </c>
      <c r="G60" s="155">
        <v>-7.3</v>
      </c>
      <c r="H60" s="155">
        <v>-7.3</v>
      </c>
      <c r="I60" s="155">
        <v>-7.3</v>
      </c>
      <c r="J60" s="155">
        <v>-7.3</v>
      </c>
      <c r="K60" s="259"/>
      <c r="L60" s="259"/>
      <c r="M60" s="259"/>
      <c r="N60" s="259"/>
      <c r="O60" s="259"/>
    </row>
    <row r="61" spans="1:15" ht="18.75" customHeight="1">
      <c r="A61" s="5" t="s">
        <v>527</v>
      </c>
      <c r="B61" s="65">
        <v>1046</v>
      </c>
      <c r="C61" s="155">
        <v>-5.9</v>
      </c>
      <c r="D61" s="155">
        <v>-6.6</v>
      </c>
      <c r="E61" s="155">
        <v>-19.399999999999999</v>
      </c>
      <c r="F61" s="156">
        <f t="shared" si="0"/>
        <v>-21.4</v>
      </c>
      <c r="G61" s="155">
        <v>-6.1</v>
      </c>
      <c r="H61" s="155">
        <v>-3.3</v>
      </c>
      <c r="I61" s="155">
        <v>-7.5</v>
      </c>
      <c r="J61" s="155">
        <v>-4.5</v>
      </c>
      <c r="K61" s="259"/>
      <c r="L61" s="259"/>
      <c r="M61" s="259"/>
      <c r="N61" s="259"/>
      <c r="O61" s="259"/>
    </row>
    <row r="62" spans="1:15" ht="18.75" customHeight="1">
      <c r="A62" s="5" t="s">
        <v>186</v>
      </c>
      <c r="B62" s="65">
        <v>1047</v>
      </c>
      <c r="C62" s="155">
        <v>0</v>
      </c>
      <c r="D62" s="155">
        <v>0</v>
      </c>
      <c r="E62" s="155"/>
      <c r="F62" s="156">
        <f t="shared" si="0"/>
        <v>0</v>
      </c>
      <c r="G62" s="155"/>
      <c r="H62" s="155"/>
      <c r="I62" s="155"/>
      <c r="J62" s="155"/>
      <c r="K62" s="259"/>
      <c r="L62" s="259"/>
      <c r="M62" s="259"/>
      <c r="N62" s="259"/>
      <c r="O62" s="259"/>
    </row>
    <row r="63" spans="1:15" ht="18.75" customHeight="1">
      <c r="A63" s="5" t="s">
        <v>187</v>
      </c>
      <c r="B63" s="65">
        <v>1048</v>
      </c>
      <c r="C63" s="155">
        <v>0</v>
      </c>
      <c r="D63" s="155">
        <v>0</v>
      </c>
      <c r="E63" s="155">
        <v>0</v>
      </c>
      <c r="F63" s="156">
        <f t="shared" si="0"/>
        <v>0</v>
      </c>
      <c r="G63" s="155"/>
      <c r="H63" s="155"/>
      <c r="I63" s="155"/>
      <c r="J63" s="155"/>
      <c r="K63" s="259"/>
      <c r="L63" s="259"/>
      <c r="M63" s="259"/>
      <c r="N63" s="259"/>
      <c r="O63" s="259"/>
    </row>
    <row r="64" spans="1:15" ht="18.75" customHeight="1">
      <c r="A64" s="5" t="s">
        <v>188</v>
      </c>
      <c r="B64" s="65">
        <v>1049</v>
      </c>
      <c r="C64" s="155">
        <v>-42</v>
      </c>
      <c r="D64" s="155">
        <v>-62.300000000000004</v>
      </c>
      <c r="E64" s="155">
        <v>-120.5</v>
      </c>
      <c r="F64" s="156">
        <f t="shared" si="0"/>
        <v>-134.1</v>
      </c>
      <c r="G64" s="155">
        <v>-10</v>
      </c>
      <c r="H64" s="155">
        <v>-53.4</v>
      </c>
      <c r="I64" s="155">
        <v>-37.200000000000003</v>
      </c>
      <c r="J64" s="155">
        <v>-33.5</v>
      </c>
      <c r="K64" s="259"/>
      <c r="L64" s="259"/>
      <c r="M64" s="259"/>
      <c r="N64" s="259"/>
      <c r="O64" s="259"/>
    </row>
    <row r="65" spans="1:15" ht="36">
      <c r="A65" s="5" t="s">
        <v>189</v>
      </c>
      <c r="B65" s="65">
        <v>1050</v>
      </c>
      <c r="C65" s="155">
        <v>-449.6</v>
      </c>
      <c r="D65" s="155">
        <v>-495.3</v>
      </c>
      <c r="E65" s="155">
        <f>-194-382.6-0</f>
        <v>-576.6</v>
      </c>
      <c r="F65" s="156">
        <f t="shared" si="0"/>
        <v>-682</v>
      </c>
      <c r="G65" s="155">
        <f>-171.8-64.1</f>
        <v>-235.9</v>
      </c>
      <c r="H65" s="155">
        <f>-54-64.3</f>
        <v>-118.3</v>
      </c>
      <c r="I65" s="155">
        <f>-54-64.1</f>
        <v>-118.1</v>
      </c>
      <c r="J65" s="155">
        <f>-128.1-81.6</f>
        <v>-209.7</v>
      </c>
      <c r="K65" s="259"/>
      <c r="L65" s="259"/>
      <c r="M65" s="259"/>
      <c r="N65" s="259"/>
      <c r="O65" s="259"/>
    </row>
    <row r="66" spans="1:15" ht="18.75" customHeight="1">
      <c r="A66" s="5" t="s">
        <v>190</v>
      </c>
      <c r="B66" s="96" t="s">
        <v>191</v>
      </c>
      <c r="C66" s="155">
        <v>-15.4</v>
      </c>
      <c r="D66" s="155">
        <v>-13.5</v>
      </c>
      <c r="E66" s="155">
        <v>0</v>
      </c>
      <c r="F66" s="156">
        <f t="shared" si="0"/>
        <v>0</v>
      </c>
      <c r="G66" s="155">
        <v>0</v>
      </c>
      <c r="H66" s="155">
        <v>0</v>
      </c>
      <c r="I66" s="155">
        <v>0</v>
      </c>
      <c r="J66" s="155">
        <v>0</v>
      </c>
      <c r="K66" s="259"/>
      <c r="L66" s="259"/>
      <c r="M66" s="259"/>
      <c r="N66" s="259"/>
      <c r="O66" s="259"/>
    </row>
    <row r="67" spans="1:15" ht="51.6" customHeight="1">
      <c r="A67" s="5" t="s">
        <v>493</v>
      </c>
      <c r="B67" s="65">
        <v>1051</v>
      </c>
      <c r="C67" s="155">
        <v>-524.29999999999995</v>
      </c>
      <c r="D67" s="155">
        <v>-674.40000000000009</v>
      </c>
      <c r="E67" s="155">
        <f>-1319.7+382.6+194+19.4</f>
        <v>-723.7</v>
      </c>
      <c r="F67" s="156">
        <f t="shared" si="0"/>
        <v>-818.8</v>
      </c>
      <c r="G67" s="155">
        <f>-543.9+171.8+73+6.1</f>
        <v>-292.99999999999994</v>
      </c>
      <c r="H67" s="155">
        <f>-290.7+54+57.5+3.3</f>
        <v>-175.89999999999998</v>
      </c>
      <c r="I67" s="155">
        <f>-308.6+54+57.4+7.5</f>
        <v>-189.70000000000002</v>
      </c>
      <c r="J67" s="155">
        <f>-365.8+128.1+73+4.5</f>
        <v>-160.20000000000002</v>
      </c>
      <c r="K67" s="259"/>
      <c r="L67" s="259"/>
      <c r="M67" s="259"/>
      <c r="N67" s="259"/>
      <c r="O67" s="259"/>
    </row>
    <row r="68" spans="1:15" s="4" customFormat="1" ht="18.75" customHeight="1">
      <c r="A68" s="7" t="s">
        <v>192</v>
      </c>
      <c r="B68" s="8">
        <v>1060</v>
      </c>
      <c r="C68" s="154">
        <f>SUM(C69:C75)</f>
        <v>-24279.800000000003</v>
      </c>
      <c r="D68" s="154">
        <f>SUM(D69:D75)</f>
        <v>-27871.599999999999</v>
      </c>
      <c r="E68" s="154">
        <f>SUM(E69:E75)</f>
        <v>-26022.3</v>
      </c>
      <c r="F68" s="154">
        <f t="shared" si="0"/>
        <v>-28202.9</v>
      </c>
      <c r="G68" s="154">
        <f>SUM(G69:G75)</f>
        <v>-7188.2999999999993</v>
      </c>
      <c r="H68" s="154">
        <f>SUM(H69:H75)</f>
        <v>-6995</v>
      </c>
      <c r="I68" s="154">
        <f>SUM(I69:I75)</f>
        <v>-6985.2000000000007</v>
      </c>
      <c r="J68" s="154">
        <f>SUM(J69:J75)</f>
        <v>-7034.4</v>
      </c>
      <c r="K68" s="259"/>
      <c r="L68" s="259"/>
      <c r="M68" s="259"/>
      <c r="N68" s="259"/>
      <c r="O68" s="259"/>
    </row>
    <row r="69" spans="1:15" ht="18.75" customHeight="1">
      <c r="A69" s="5" t="s">
        <v>193</v>
      </c>
      <c r="B69" s="6">
        <v>1061</v>
      </c>
      <c r="C69" s="155">
        <v>0</v>
      </c>
      <c r="D69" s="155">
        <v>0</v>
      </c>
      <c r="E69" s="155">
        <v>0</v>
      </c>
      <c r="F69" s="156">
        <f t="shared" si="0"/>
        <v>0</v>
      </c>
      <c r="G69" s="155">
        <v>0</v>
      </c>
      <c r="H69" s="155">
        <v>0</v>
      </c>
      <c r="I69" s="155">
        <v>0</v>
      </c>
      <c r="J69" s="155">
        <v>0</v>
      </c>
      <c r="K69" s="259"/>
      <c r="L69" s="259"/>
      <c r="M69" s="259"/>
      <c r="N69" s="259"/>
      <c r="O69" s="259"/>
    </row>
    <row r="70" spans="1:15" ht="18.75" customHeight="1">
      <c r="A70" s="5" t="s">
        <v>194</v>
      </c>
      <c r="B70" s="6">
        <v>1062</v>
      </c>
      <c r="C70" s="155">
        <v>0</v>
      </c>
      <c r="D70" s="155">
        <v>0</v>
      </c>
      <c r="E70" s="155">
        <v>0</v>
      </c>
      <c r="F70" s="156">
        <f t="shared" si="0"/>
        <v>0</v>
      </c>
      <c r="G70" s="155">
        <v>0</v>
      </c>
      <c r="H70" s="155">
        <v>0</v>
      </c>
      <c r="I70" s="155">
        <v>0</v>
      </c>
      <c r="J70" s="155">
        <v>0</v>
      </c>
      <c r="K70" s="259"/>
      <c r="L70" s="259"/>
      <c r="M70" s="259"/>
      <c r="N70" s="259"/>
      <c r="O70" s="259"/>
    </row>
    <row r="71" spans="1:15" ht="18.75" customHeight="1">
      <c r="A71" s="5" t="s">
        <v>178</v>
      </c>
      <c r="B71" s="6">
        <v>1063</v>
      </c>
      <c r="C71" s="155">
        <v>-13119.5</v>
      </c>
      <c r="D71" s="155">
        <v>-12928.9</v>
      </c>
      <c r="E71" s="155">
        <v>-12813.6</v>
      </c>
      <c r="F71" s="156">
        <f t="shared" si="0"/>
        <v>-14242.8</v>
      </c>
      <c r="G71" s="155">
        <v>-3552.2</v>
      </c>
      <c r="H71" s="155">
        <v>-3559</v>
      </c>
      <c r="I71" s="155">
        <v>-3565.8</v>
      </c>
      <c r="J71" s="155">
        <v>-3565.8</v>
      </c>
      <c r="K71" s="259"/>
      <c r="L71" s="259"/>
      <c r="M71" s="259"/>
      <c r="N71" s="259"/>
      <c r="O71" s="259"/>
    </row>
    <row r="72" spans="1:15" ht="18.75" customHeight="1">
      <c r="A72" s="5" t="s">
        <v>179</v>
      </c>
      <c r="B72" s="6">
        <v>1064</v>
      </c>
      <c r="C72" s="155">
        <v>-2765.6</v>
      </c>
      <c r="D72" s="155">
        <v>-2757.9000000000005</v>
      </c>
      <c r="E72" s="155">
        <v>-2701.8</v>
      </c>
      <c r="F72" s="156">
        <f t="shared" si="0"/>
        <v>-3003.1</v>
      </c>
      <c r="G72" s="155">
        <v>-748.9</v>
      </c>
      <c r="H72" s="155">
        <v>-750.7</v>
      </c>
      <c r="I72" s="155">
        <v>-751.6</v>
      </c>
      <c r="J72" s="155">
        <v>-751.9</v>
      </c>
      <c r="K72" s="259"/>
      <c r="L72" s="259"/>
      <c r="M72" s="259"/>
      <c r="N72" s="259"/>
      <c r="O72" s="259"/>
    </row>
    <row r="73" spans="1:15" ht="18.75" customHeight="1">
      <c r="A73" s="5" t="s">
        <v>195</v>
      </c>
      <c r="B73" s="6">
        <v>1065</v>
      </c>
      <c r="C73" s="155">
        <v>-858.6</v>
      </c>
      <c r="D73" s="155">
        <v>-854.6</v>
      </c>
      <c r="E73" s="155">
        <f>-698.4-185.4</f>
        <v>-883.8</v>
      </c>
      <c r="F73" s="156">
        <f t="shared" si="0"/>
        <v>-825.4</v>
      </c>
      <c r="G73" s="155">
        <v>-210.7</v>
      </c>
      <c r="H73" s="155">
        <v>-216.2</v>
      </c>
      <c r="I73" s="155">
        <v>-204.6</v>
      </c>
      <c r="J73" s="155">
        <v>-193.9</v>
      </c>
      <c r="K73" s="259"/>
      <c r="L73" s="259"/>
      <c r="M73" s="259"/>
      <c r="N73" s="259"/>
      <c r="O73" s="259"/>
    </row>
    <row r="74" spans="1:15" ht="18.75" customHeight="1">
      <c r="A74" s="5" t="s">
        <v>512</v>
      </c>
      <c r="B74" s="6">
        <v>1066</v>
      </c>
      <c r="C74" s="155">
        <v>-71.5</v>
      </c>
      <c r="D74" s="155">
        <v>-76</v>
      </c>
      <c r="E74" s="155">
        <v>0</v>
      </c>
      <c r="F74" s="156">
        <f t="shared" si="0"/>
        <v>0</v>
      </c>
      <c r="G74" s="155">
        <v>0</v>
      </c>
      <c r="H74" s="155">
        <v>0</v>
      </c>
      <c r="I74" s="155">
        <v>0</v>
      </c>
      <c r="J74" s="155">
        <v>0</v>
      </c>
      <c r="K74" s="259"/>
      <c r="L74" s="259"/>
      <c r="M74" s="259"/>
      <c r="N74" s="259"/>
      <c r="O74" s="259"/>
    </row>
    <row r="75" spans="1:15" ht="18.75" customHeight="1">
      <c r="A75" s="5" t="s">
        <v>196</v>
      </c>
      <c r="B75" s="6">
        <v>1067</v>
      </c>
      <c r="C75" s="155">
        <f>SUM(C76:C78)</f>
        <v>-7464.6</v>
      </c>
      <c r="D75" s="155">
        <f t="shared" ref="D75:J75" si="3">SUM(D76:D78)</f>
        <v>-11254.2</v>
      </c>
      <c r="E75" s="155">
        <f t="shared" si="3"/>
        <v>-9623.0999999999985</v>
      </c>
      <c r="F75" s="156">
        <f t="shared" si="3"/>
        <v>-10131.6</v>
      </c>
      <c r="G75" s="155">
        <f>SUM(G76:G78)</f>
        <v>-2676.5</v>
      </c>
      <c r="H75" s="155">
        <f t="shared" si="3"/>
        <v>-2469.1</v>
      </c>
      <c r="I75" s="155">
        <f t="shared" si="3"/>
        <v>-2463.1999999999998</v>
      </c>
      <c r="J75" s="155">
        <f t="shared" si="3"/>
        <v>-2522.8000000000002</v>
      </c>
      <c r="K75" s="259"/>
      <c r="L75" s="259"/>
      <c r="M75" s="259"/>
      <c r="N75" s="259"/>
      <c r="O75" s="259"/>
    </row>
    <row r="76" spans="1:15" ht="18.75" customHeight="1">
      <c r="A76" s="5" t="s">
        <v>418</v>
      </c>
      <c r="B76" s="6" t="s">
        <v>421</v>
      </c>
      <c r="C76" s="155">
        <v>-3143.2</v>
      </c>
      <c r="D76" s="155">
        <v>-3530.4</v>
      </c>
      <c r="E76" s="155">
        <v>-3153.6</v>
      </c>
      <c r="F76" s="156">
        <f t="shared" si="0"/>
        <v>-3160.6000000000004</v>
      </c>
      <c r="G76" s="155">
        <v>-790.1</v>
      </c>
      <c r="H76" s="155">
        <v>-790.1</v>
      </c>
      <c r="I76" s="155">
        <v>-790.2</v>
      </c>
      <c r="J76" s="155">
        <v>-790.2</v>
      </c>
      <c r="K76" s="277"/>
      <c r="L76" s="278"/>
      <c r="M76" s="278"/>
      <c r="N76" s="278"/>
      <c r="O76" s="279"/>
    </row>
    <row r="77" spans="1:15" ht="18.75" customHeight="1">
      <c r="A77" s="5" t="s">
        <v>419</v>
      </c>
      <c r="B77" s="6" t="s">
        <v>422</v>
      </c>
      <c r="C77" s="155">
        <v>-174.4</v>
      </c>
      <c r="D77" s="155">
        <v>-193.10000000000002</v>
      </c>
      <c r="E77" s="155">
        <f>-203.3-5.3</f>
        <v>-208.60000000000002</v>
      </c>
      <c r="F77" s="156">
        <f t="shared" si="0"/>
        <v>-221.3</v>
      </c>
      <c r="G77" s="155">
        <v>-102.6</v>
      </c>
      <c r="H77" s="155">
        <v>-30.9</v>
      </c>
      <c r="I77" s="155">
        <v>-21.5</v>
      </c>
      <c r="J77" s="155">
        <v>-66.3</v>
      </c>
      <c r="K77" s="277"/>
      <c r="L77" s="278"/>
      <c r="M77" s="278"/>
      <c r="N77" s="278"/>
      <c r="O77" s="279"/>
    </row>
    <row r="78" spans="1:15" ht="36.6" customHeight="1">
      <c r="A78" s="5" t="s">
        <v>420</v>
      </c>
      <c r="B78" s="6" t="s">
        <v>423</v>
      </c>
      <c r="C78" s="155">
        <v>-4147</v>
      </c>
      <c r="D78" s="155">
        <v>-7530.7000000000007</v>
      </c>
      <c r="E78" s="155">
        <v>-6260.9</v>
      </c>
      <c r="F78" s="156">
        <f t="shared" si="0"/>
        <v>-6749.7</v>
      </c>
      <c r="G78" s="155">
        <v>-1783.8</v>
      </c>
      <c r="H78" s="155">
        <v>-1648.1</v>
      </c>
      <c r="I78" s="155">
        <v>-1651.5</v>
      </c>
      <c r="J78" s="155">
        <v>-1666.3</v>
      </c>
      <c r="K78" s="277"/>
      <c r="L78" s="278"/>
      <c r="M78" s="278"/>
      <c r="N78" s="278"/>
      <c r="O78" s="279"/>
    </row>
    <row r="79" spans="1:15" s="4" customFormat="1" ht="18.75" customHeight="1">
      <c r="A79" s="7" t="s">
        <v>197</v>
      </c>
      <c r="B79" s="8">
        <v>1070</v>
      </c>
      <c r="C79" s="154">
        <f>SUM(C80:C82)</f>
        <v>40699.199999999997</v>
      </c>
      <c r="D79" s="154">
        <f>SUM(D80:D82)</f>
        <v>22747.300000000003</v>
      </c>
      <c r="E79" s="154">
        <f>SUM(E80:E82)</f>
        <v>37413.4</v>
      </c>
      <c r="F79" s="154">
        <f t="shared" si="0"/>
        <v>26051.399999999998</v>
      </c>
      <c r="G79" s="154">
        <f>SUM(G80:G82)</f>
        <v>5710.7</v>
      </c>
      <c r="H79" s="154">
        <f>SUM(H80:H82)</f>
        <v>6597.9</v>
      </c>
      <c r="I79" s="154">
        <f>SUM(I80:I82)</f>
        <v>7840.8</v>
      </c>
      <c r="J79" s="154">
        <f>SUM(J80:J82)</f>
        <v>5902</v>
      </c>
      <c r="K79" s="259"/>
      <c r="L79" s="259"/>
      <c r="M79" s="259"/>
      <c r="N79" s="259"/>
      <c r="O79" s="259"/>
    </row>
    <row r="80" spans="1:15" ht="18.75" customHeight="1">
      <c r="A80" s="5" t="s">
        <v>198</v>
      </c>
      <c r="B80" s="6">
        <v>1071</v>
      </c>
      <c r="C80" s="155">
        <v>0</v>
      </c>
      <c r="D80" s="155">
        <v>0</v>
      </c>
      <c r="E80" s="155">
        <v>0</v>
      </c>
      <c r="F80" s="156">
        <f t="shared" si="0"/>
        <v>0</v>
      </c>
      <c r="G80" s="155"/>
      <c r="H80" s="155"/>
      <c r="I80" s="155"/>
      <c r="J80" s="155"/>
      <c r="K80" s="259"/>
      <c r="L80" s="259"/>
      <c r="M80" s="259"/>
      <c r="N80" s="259"/>
      <c r="O80" s="259"/>
    </row>
    <row r="81" spans="1:15" ht="18.75" customHeight="1">
      <c r="A81" s="5" t="s">
        <v>199</v>
      </c>
      <c r="B81" s="6">
        <v>1072</v>
      </c>
      <c r="C81" s="155">
        <v>0</v>
      </c>
      <c r="D81" s="155">
        <v>0</v>
      </c>
      <c r="E81" s="155">
        <v>0</v>
      </c>
      <c r="F81" s="156">
        <f>SUM(G81:J81)</f>
        <v>0</v>
      </c>
      <c r="G81" s="155"/>
      <c r="H81" s="155"/>
      <c r="I81" s="155"/>
      <c r="J81" s="155"/>
      <c r="K81" s="259"/>
      <c r="L81" s="259"/>
      <c r="M81" s="259"/>
      <c r="N81" s="259"/>
      <c r="O81" s="259"/>
    </row>
    <row r="82" spans="1:15" ht="18.75" customHeight="1">
      <c r="A82" s="5" t="s">
        <v>200</v>
      </c>
      <c r="B82" s="6">
        <v>1073</v>
      </c>
      <c r="C82" s="155">
        <f t="shared" ref="C82:J82" si="4">SUM(C83:C94)</f>
        <v>40699.199999999997</v>
      </c>
      <c r="D82" s="155">
        <f t="shared" si="4"/>
        <v>22747.300000000003</v>
      </c>
      <c r="E82" s="155">
        <f t="shared" si="4"/>
        <v>37413.4</v>
      </c>
      <c r="F82" s="156">
        <f t="shared" si="4"/>
        <v>26051.399999999998</v>
      </c>
      <c r="G82" s="155">
        <f t="shared" si="4"/>
        <v>5710.7</v>
      </c>
      <c r="H82" s="155">
        <f t="shared" si="4"/>
        <v>6597.9</v>
      </c>
      <c r="I82" s="155">
        <f t="shared" si="4"/>
        <v>7840.8</v>
      </c>
      <c r="J82" s="155">
        <f t="shared" si="4"/>
        <v>5902</v>
      </c>
      <c r="K82" s="259"/>
      <c r="L82" s="259"/>
      <c r="M82" s="259"/>
      <c r="N82" s="259"/>
      <c r="O82" s="259"/>
    </row>
    <row r="83" spans="1:15" ht="18.75" customHeight="1">
      <c r="A83" s="5" t="s">
        <v>424</v>
      </c>
      <c r="B83" s="6" t="s">
        <v>433</v>
      </c>
      <c r="C83" s="155">
        <v>15025.5</v>
      </c>
      <c r="D83" s="155">
        <v>20560.600000000002</v>
      </c>
      <c r="E83" s="155">
        <v>29424.9</v>
      </c>
      <c r="F83" s="156">
        <f>SUM(G83:J83)</f>
        <v>23977.699999999997</v>
      </c>
      <c r="G83" s="155">
        <v>5244.4</v>
      </c>
      <c r="H83" s="155">
        <v>6192.7</v>
      </c>
      <c r="I83" s="155">
        <v>7157.1</v>
      </c>
      <c r="J83" s="155">
        <v>5383.5</v>
      </c>
      <c r="K83" s="277"/>
      <c r="L83" s="278"/>
      <c r="M83" s="278"/>
      <c r="N83" s="278"/>
      <c r="O83" s="279"/>
    </row>
    <row r="84" spans="1:15" ht="18.75" customHeight="1">
      <c r="A84" s="5" t="s">
        <v>425</v>
      </c>
      <c r="B84" s="6" t="s">
        <v>434</v>
      </c>
      <c r="C84" s="155">
        <v>219.3</v>
      </c>
      <c r="D84" s="155">
        <v>0.4</v>
      </c>
      <c r="E84" s="155">
        <v>287.2</v>
      </c>
      <c r="F84" s="156">
        <f t="shared" ref="F84:F94" si="5">SUM(G84:J84)</f>
        <v>287.2</v>
      </c>
      <c r="G84" s="155">
        <v>139.30000000000001</v>
      </c>
      <c r="H84" s="155">
        <v>9.1999999999999993</v>
      </c>
      <c r="I84" s="155">
        <v>66.900000000000006</v>
      </c>
      <c r="J84" s="155">
        <v>71.8</v>
      </c>
      <c r="K84" s="277"/>
      <c r="L84" s="278"/>
      <c r="M84" s="278"/>
      <c r="N84" s="278"/>
      <c r="O84" s="279"/>
    </row>
    <row r="85" spans="1:15" ht="18.75" customHeight="1">
      <c r="A85" s="5" t="s">
        <v>426</v>
      </c>
      <c r="B85" s="6" t="s">
        <v>435</v>
      </c>
      <c r="C85" s="155">
        <v>990.3</v>
      </c>
      <c r="D85" s="155">
        <v>609.30000000000007</v>
      </c>
      <c r="E85" s="155">
        <v>228.6</v>
      </c>
      <c r="F85" s="156">
        <f t="shared" si="5"/>
        <v>228.8</v>
      </c>
      <c r="G85" s="155">
        <v>57.2</v>
      </c>
      <c r="H85" s="155">
        <v>57.2</v>
      </c>
      <c r="I85" s="155">
        <v>57.2</v>
      </c>
      <c r="J85" s="155">
        <v>57.2</v>
      </c>
      <c r="K85" s="277"/>
      <c r="L85" s="278"/>
      <c r="M85" s="278"/>
      <c r="N85" s="278"/>
      <c r="O85" s="279"/>
    </row>
    <row r="86" spans="1:15" ht="21" customHeight="1">
      <c r="A86" s="5" t="s">
        <v>427</v>
      </c>
      <c r="B86" s="6" t="s">
        <v>436</v>
      </c>
      <c r="C86" s="155">
        <v>63.4</v>
      </c>
      <c r="D86" s="155">
        <v>49.6</v>
      </c>
      <c r="E86" s="155">
        <v>27.2</v>
      </c>
      <c r="F86" s="156">
        <f t="shared" si="5"/>
        <v>27.2</v>
      </c>
      <c r="G86" s="155">
        <v>6.8</v>
      </c>
      <c r="H86" s="155">
        <v>6.8</v>
      </c>
      <c r="I86" s="155">
        <v>6.8</v>
      </c>
      <c r="J86" s="155">
        <v>6.8</v>
      </c>
      <c r="K86" s="277"/>
      <c r="L86" s="278"/>
      <c r="M86" s="278"/>
      <c r="N86" s="278"/>
      <c r="O86" s="279"/>
    </row>
    <row r="87" spans="1:15" ht="18.75" customHeight="1">
      <c r="A87" s="5" t="s">
        <v>428</v>
      </c>
      <c r="B87" s="6" t="s">
        <v>437</v>
      </c>
      <c r="C87" s="155">
        <v>1071.5999999999999</v>
      </c>
      <c r="D87" s="155">
        <v>1001.8999999999999</v>
      </c>
      <c r="E87" s="155">
        <v>1028.3</v>
      </c>
      <c r="F87" s="156">
        <f t="shared" si="5"/>
        <v>1144.5999999999999</v>
      </c>
      <c r="G87" s="155">
        <v>152.9</v>
      </c>
      <c r="H87" s="155">
        <v>240.5</v>
      </c>
      <c r="I87" s="155">
        <v>465</v>
      </c>
      <c r="J87" s="155">
        <v>286.2</v>
      </c>
      <c r="K87" s="277"/>
      <c r="L87" s="278"/>
      <c r="M87" s="278"/>
      <c r="N87" s="278"/>
      <c r="O87" s="279"/>
    </row>
    <row r="88" spans="1:15" ht="18.75" customHeight="1">
      <c r="A88" s="5" t="s">
        <v>258</v>
      </c>
      <c r="B88" s="6" t="s">
        <v>438</v>
      </c>
      <c r="C88" s="155">
        <v>37.799999999999997</v>
      </c>
      <c r="D88" s="155">
        <v>42</v>
      </c>
      <c r="E88" s="155">
        <v>42.5</v>
      </c>
      <c r="F88" s="156">
        <f t="shared" si="5"/>
        <v>46.8</v>
      </c>
      <c r="G88" s="155">
        <v>11.7</v>
      </c>
      <c r="H88" s="155">
        <v>11.7</v>
      </c>
      <c r="I88" s="155">
        <v>11.7</v>
      </c>
      <c r="J88" s="155">
        <v>11.7</v>
      </c>
      <c r="K88" s="277"/>
      <c r="L88" s="278"/>
      <c r="M88" s="278"/>
      <c r="N88" s="278"/>
      <c r="O88" s="279"/>
    </row>
    <row r="89" spans="1:15" ht="18.75" customHeight="1">
      <c r="A89" s="5" t="s">
        <v>429</v>
      </c>
      <c r="B89" s="6" t="s">
        <v>439</v>
      </c>
      <c r="C89" s="155">
        <v>2.2999999999999998</v>
      </c>
      <c r="D89" s="155">
        <v>0.4</v>
      </c>
      <c r="E89" s="155">
        <v>1.2</v>
      </c>
      <c r="F89" s="156">
        <f t="shared" si="5"/>
        <v>1.2</v>
      </c>
      <c r="G89" s="155">
        <v>0.1</v>
      </c>
      <c r="H89" s="155">
        <v>0.2</v>
      </c>
      <c r="I89" s="155">
        <v>0.6</v>
      </c>
      <c r="J89" s="155">
        <v>0.3</v>
      </c>
      <c r="K89" s="277"/>
      <c r="L89" s="278"/>
      <c r="M89" s="278"/>
      <c r="N89" s="278"/>
      <c r="O89" s="279"/>
    </row>
    <row r="90" spans="1:15" ht="18.75" customHeight="1">
      <c r="A90" s="5" t="s">
        <v>430</v>
      </c>
      <c r="B90" s="6" t="s">
        <v>440</v>
      </c>
      <c r="C90" s="155">
        <v>354.2</v>
      </c>
      <c r="D90" s="155">
        <v>483.1</v>
      </c>
      <c r="E90" s="155">
        <v>337.9</v>
      </c>
      <c r="F90" s="156">
        <f t="shared" si="5"/>
        <v>337.9</v>
      </c>
      <c r="G90" s="155">
        <v>98.3</v>
      </c>
      <c r="H90" s="155">
        <v>79.599999999999994</v>
      </c>
      <c r="I90" s="155">
        <v>75.5</v>
      </c>
      <c r="J90" s="155">
        <v>84.5</v>
      </c>
      <c r="K90" s="277"/>
      <c r="L90" s="278"/>
      <c r="M90" s="278"/>
      <c r="N90" s="278"/>
      <c r="O90" s="279"/>
    </row>
    <row r="91" spans="1:15" ht="18.75" customHeight="1">
      <c r="A91" s="204" t="s">
        <v>528</v>
      </c>
      <c r="B91" s="6" t="s">
        <v>441</v>
      </c>
      <c r="C91" s="155">
        <v>0</v>
      </c>
      <c r="D91" s="155">
        <v>0</v>
      </c>
      <c r="E91" s="155">
        <v>1035.0999999999999</v>
      </c>
      <c r="F91" s="156">
        <f t="shared" si="5"/>
        <v>0</v>
      </c>
      <c r="G91" s="155">
        <v>0</v>
      </c>
      <c r="H91" s="155">
        <v>0</v>
      </c>
      <c r="I91" s="155">
        <v>0</v>
      </c>
      <c r="J91" s="155">
        <v>0</v>
      </c>
      <c r="K91" s="277"/>
      <c r="L91" s="278"/>
      <c r="M91" s="278"/>
      <c r="N91" s="278"/>
      <c r="O91" s="279"/>
    </row>
    <row r="92" spans="1:15" ht="18.75" customHeight="1">
      <c r="A92" s="5" t="s">
        <v>445</v>
      </c>
      <c r="B92" s="6" t="s">
        <v>442</v>
      </c>
      <c r="C92" s="155">
        <v>30.7</v>
      </c>
      <c r="D92" s="155">
        <v>0</v>
      </c>
      <c r="E92" s="155">
        <v>0</v>
      </c>
      <c r="F92" s="156">
        <f t="shared" si="5"/>
        <v>0</v>
      </c>
      <c r="G92" s="155">
        <v>0</v>
      </c>
      <c r="H92" s="155">
        <v>0</v>
      </c>
      <c r="I92" s="155">
        <v>0</v>
      </c>
      <c r="J92" s="155">
        <v>0</v>
      </c>
      <c r="K92" s="132"/>
      <c r="L92" s="133"/>
      <c r="M92" s="133"/>
      <c r="N92" s="133"/>
      <c r="O92" s="134"/>
    </row>
    <row r="93" spans="1:15" ht="18.75" customHeight="1">
      <c r="A93" s="5" t="s">
        <v>431</v>
      </c>
      <c r="B93" s="6" t="s">
        <v>443</v>
      </c>
      <c r="C93" s="155">
        <v>22874.400000000001</v>
      </c>
      <c r="D93" s="155">
        <v>0</v>
      </c>
      <c r="E93" s="155">
        <v>5000.5</v>
      </c>
      <c r="F93" s="156">
        <f t="shared" si="5"/>
        <v>0</v>
      </c>
      <c r="G93" s="155">
        <v>0</v>
      </c>
      <c r="H93" s="155">
        <v>0</v>
      </c>
      <c r="I93" s="155">
        <v>0</v>
      </c>
      <c r="J93" s="155">
        <v>0</v>
      </c>
      <c r="K93" s="277"/>
      <c r="L93" s="278"/>
      <c r="M93" s="278"/>
      <c r="N93" s="278"/>
      <c r="O93" s="279"/>
    </row>
    <row r="94" spans="1:15" ht="18.75" customHeight="1">
      <c r="A94" s="5" t="s">
        <v>432</v>
      </c>
      <c r="B94" s="6" t="s">
        <v>444</v>
      </c>
      <c r="C94" s="155">
        <v>29.7</v>
      </c>
      <c r="D94" s="155">
        <v>0</v>
      </c>
      <c r="E94" s="155">
        <v>0</v>
      </c>
      <c r="F94" s="156">
        <f t="shared" si="5"/>
        <v>0</v>
      </c>
      <c r="G94" s="155">
        <v>0</v>
      </c>
      <c r="H94" s="155">
        <v>0</v>
      </c>
      <c r="I94" s="155">
        <v>0</v>
      </c>
      <c r="J94" s="155">
        <v>0</v>
      </c>
      <c r="K94" s="277"/>
      <c r="L94" s="278"/>
      <c r="M94" s="278"/>
      <c r="N94" s="278"/>
      <c r="O94" s="279"/>
    </row>
    <row r="95" spans="1:15" s="4" customFormat="1" ht="18.75" customHeight="1">
      <c r="A95" s="84" t="s">
        <v>201</v>
      </c>
      <c r="B95" s="8">
        <v>1080</v>
      </c>
      <c r="C95" s="154">
        <f>SUM(C96:C101)</f>
        <v>-44058.3</v>
      </c>
      <c r="D95" s="154">
        <f>SUM(D96:D101)</f>
        <v>-8040.6</v>
      </c>
      <c r="E95" s="154">
        <f>SUM(E96:E101)</f>
        <v>-17661</v>
      </c>
      <c r="F95" s="154">
        <f t="shared" si="0"/>
        <v>-7455.1</v>
      </c>
      <c r="G95" s="154">
        <f>SUM(G96:G101)</f>
        <v>-1709.9</v>
      </c>
      <c r="H95" s="154">
        <f>SUM(H96:H101)</f>
        <v>-1837.6</v>
      </c>
      <c r="I95" s="154">
        <f>SUM(I96:I101)</f>
        <v>-2107</v>
      </c>
      <c r="J95" s="154">
        <f>SUM(J96:J101)</f>
        <v>-1800.6</v>
      </c>
      <c r="K95" s="259"/>
      <c r="L95" s="259"/>
      <c r="M95" s="259"/>
      <c r="N95" s="259"/>
      <c r="O95" s="259"/>
    </row>
    <row r="96" spans="1:15" ht="18.75" customHeight="1">
      <c r="A96" s="5" t="s">
        <v>198</v>
      </c>
      <c r="B96" s="6">
        <v>1081</v>
      </c>
      <c r="C96" s="155">
        <v>0</v>
      </c>
      <c r="D96" s="155">
        <v>0</v>
      </c>
      <c r="E96" s="155">
        <v>0</v>
      </c>
      <c r="F96" s="156">
        <f t="shared" si="0"/>
        <v>0</v>
      </c>
      <c r="G96" s="155">
        <v>0</v>
      </c>
      <c r="H96" s="155">
        <v>0</v>
      </c>
      <c r="I96" s="155">
        <v>0</v>
      </c>
      <c r="J96" s="155">
        <v>0</v>
      </c>
      <c r="K96" s="259"/>
      <c r="L96" s="259"/>
      <c r="M96" s="259"/>
      <c r="N96" s="259"/>
      <c r="O96" s="259"/>
    </row>
    <row r="97" spans="1:15" ht="18.75" customHeight="1">
      <c r="A97" s="5" t="s">
        <v>202</v>
      </c>
      <c r="B97" s="6">
        <v>1082</v>
      </c>
      <c r="C97" s="155">
        <v>0</v>
      </c>
      <c r="D97" s="155">
        <v>0</v>
      </c>
      <c r="E97" s="155">
        <v>0</v>
      </c>
      <c r="F97" s="156">
        <f t="shared" si="0"/>
        <v>0</v>
      </c>
      <c r="G97" s="155">
        <v>0</v>
      </c>
      <c r="H97" s="155">
        <v>0</v>
      </c>
      <c r="I97" s="155">
        <v>0</v>
      </c>
      <c r="J97" s="155">
        <v>0</v>
      </c>
      <c r="K97" s="259"/>
      <c r="L97" s="259"/>
      <c r="M97" s="259"/>
      <c r="N97" s="259"/>
      <c r="O97" s="259"/>
    </row>
    <row r="98" spans="1:15" ht="18.75" customHeight="1">
      <c r="A98" s="5" t="s">
        <v>203</v>
      </c>
      <c r="B98" s="6">
        <v>1083</v>
      </c>
      <c r="C98" s="155">
        <v>0</v>
      </c>
      <c r="D98" s="155">
        <v>0</v>
      </c>
      <c r="E98" s="155">
        <v>0</v>
      </c>
      <c r="F98" s="156">
        <f t="shared" si="0"/>
        <v>0</v>
      </c>
      <c r="G98" s="155">
        <v>0</v>
      </c>
      <c r="H98" s="155">
        <v>0</v>
      </c>
      <c r="I98" s="155">
        <v>0</v>
      </c>
      <c r="J98" s="155">
        <v>0</v>
      </c>
      <c r="K98" s="259"/>
      <c r="L98" s="259"/>
      <c r="M98" s="259"/>
      <c r="N98" s="259"/>
      <c r="O98" s="259"/>
    </row>
    <row r="99" spans="1:15" ht="18.75" customHeight="1">
      <c r="A99" s="5" t="s">
        <v>204</v>
      </c>
      <c r="B99" s="6">
        <v>1084</v>
      </c>
      <c r="C99" s="155">
        <v>-205.4</v>
      </c>
      <c r="D99" s="155">
        <v>0</v>
      </c>
      <c r="E99" s="155">
        <v>0</v>
      </c>
      <c r="F99" s="156">
        <f t="shared" si="0"/>
        <v>0</v>
      </c>
      <c r="G99" s="155">
        <v>0</v>
      </c>
      <c r="H99" s="155">
        <v>0</v>
      </c>
      <c r="I99" s="155">
        <v>0</v>
      </c>
      <c r="J99" s="155">
        <v>0</v>
      </c>
      <c r="K99" s="259"/>
      <c r="L99" s="259"/>
      <c r="M99" s="259"/>
      <c r="N99" s="259"/>
      <c r="O99" s="259"/>
    </row>
    <row r="100" spans="1:15" ht="18.75" customHeight="1">
      <c r="A100" s="5" t="s">
        <v>205</v>
      </c>
      <c r="B100" s="6">
        <v>1085</v>
      </c>
      <c r="C100" s="155">
        <v>0</v>
      </c>
      <c r="D100" s="155">
        <v>0</v>
      </c>
      <c r="E100" s="155">
        <v>0</v>
      </c>
      <c r="F100" s="156">
        <f>SUM(G100:J100)</f>
        <v>0</v>
      </c>
      <c r="G100" s="155">
        <v>0</v>
      </c>
      <c r="H100" s="155">
        <v>0</v>
      </c>
      <c r="I100" s="155">
        <v>0</v>
      </c>
      <c r="J100" s="155">
        <v>0</v>
      </c>
      <c r="K100" s="259"/>
      <c r="L100" s="259"/>
      <c r="M100" s="259"/>
      <c r="N100" s="259"/>
      <c r="O100" s="259"/>
    </row>
    <row r="101" spans="1:15" ht="18.75" customHeight="1">
      <c r="A101" s="5" t="s">
        <v>206</v>
      </c>
      <c r="B101" s="6">
        <v>1086</v>
      </c>
      <c r="C101" s="155">
        <f t="shared" ref="C101:J101" si="6">SUM(C102:C107)</f>
        <v>-43852.9</v>
      </c>
      <c r="D101" s="155">
        <f t="shared" si="6"/>
        <v>-8040.6</v>
      </c>
      <c r="E101" s="155">
        <f t="shared" si="6"/>
        <v>-17661</v>
      </c>
      <c r="F101" s="156">
        <f t="shared" si="6"/>
        <v>-7455.1</v>
      </c>
      <c r="G101" s="155">
        <f t="shared" si="6"/>
        <v>-1709.9</v>
      </c>
      <c r="H101" s="155">
        <f t="shared" si="6"/>
        <v>-1837.6</v>
      </c>
      <c r="I101" s="155">
        <f t="shared" si="6"/>
        <v>-2107</v>
      </c>
      <c r="J101" s="155">
        <f t="shared" si="6"/>
        <v>-1800.6</v>
      </c>
      <c r="K101" s="259"/>
      <c r="L101" s="259"/>
      <c r="M101" s="259"/>
      <c r="N101" s="259"/>
      <c r="O101" s="259"/>
    </row>
    <row r="102" spans="1:15" ht="18.75" customHeight="1">
      <c r="A102" s="5" t="s">
        <v>452</v>
      </c>
      <c r="B102" s="6" t="s">
        <v>446</v>
      </c>
      <c r="C102" s="155">
        <v>-12.9</v>
      </c>
      <c r="D102" s="155">
        <v>0</v>
      </c>
      <c r="E102" s="155">
        <v>-90</v>
      </c>
      <c r="F102" s="156">
        <f>SUM(G102:J102)</f>
        <v>0</v>
      </c>
      <c r="G102" s="155">
        <v>0</v>
      </c>
      <c r="H102" s="155">
        <v>0</v>
      </c>
      <c r="I102" s="155">
        <v>0</v>
      </c>
      <c r="J102" s="155">
        <v>0</v>
      </c>
      <c r="K102" s="277"/>
      <c r="L102" s="278"/>
      <c r="M102" s="278"/>
      <c r="N102" s="278"/>
      <c r="O102" s="279"/>
    </row>
    <row r="103" spans="1:15" ht="18.75" customHeight="1">
      <c r="A103" s="5" t="s">
        <v>453</v>
      </c>
      <c r="B103" s="6" t="s">
        <v>447</v>
      </c>
      <c r="C103" s="155">
        <v>-36708.1</v>
      </c>
      <c r="D103" s="155">
        <v>0</v>
      </c>
      <c r="E103" s="155">
        <v>-10084.1</v>
      </c>
      <c r="F103" s="156">
        <f t="shared" ref="F103:F107" si="7">SUM(G103:J103)</f>
        <v>0</v>
      </c>
      <c r="G103" s="155">
        <v>0</v>
      </c>
      <c r="H103" s="155">
        <v>0</v>
      </c>
      <c r="I103" s="155">
        <v>0</v>
      </c>
      <c r="J103" s="155">
        <v>0</v>
      </c>
      <c r="K103" s="277"/>
      <c r="L103" s="278"/>
      <c r="M103" s="278"/>
      <c r="N103" s="278"/>
      <c r="O103" s="279"/>
    </row>
    <row r="104" spans="1:15" ht="18.75" customHeight="1">
      <c r="A104" s="5" t="s">
        <v>454</v>
      </c>
      <c r="B104" s="6" t="s">
        <v>448</v>
      </c>
      <c r="C104" s="155">
        <v>-481.6</v>
      </c>
      <c r="D104" s="155">
        <v>-592</v>
      </c>
      <c r="E104" s="155">
        <v>-604.79999999999995</v>
      </c>
      <c r="F104" s="156">
        <f t="shared" si="7"/>
        <v>-607.20000000000005</v>
      </c>
      <c r="G104" s="155">
        <v>-151.80000000000001</v>
      </c>
      <c r="H104" s="155">
        <v>-151.80000000000001</v>
      </c>
      <c r="I104" s="155">
        <v>-151.80000000000001</v>
      </c>
      <c r="J104" s="155">
        <v>-151.80000000000001</v>
      </c>
      <c r="K104" s="277"/>
      <c r="L104" s="278"/>
      <c r="M104" s="278"/>
      <c r="N104" s="278"/>
      <c r="O104" s="279"/>
    </row>
    <row r="105" spans="1:15" ht="18.75" customHeight="1">
      <c r="A105" s="5" t="s">
        <v>428</v>
      </c>
      <c r="B105" s="6" t="s">
        <v>449</v>
      </c>
      <c r="C105" s="155">
        <v>-924.5</v>
      </c>
      <c r="D105" s="155">
        <v>-945.90000000000009</v>
      </c>
      <c r="E105" s="155">
        <v>-879.4</v>
      </c>
      <c r="F105" s="156">
        <f t="shared" si="7"/>
        <v>-978.90000000000009</v>
      </c>
      <c r="G105" s="155">
        <v>-143.19999999999999</v>
      </c>
      <c r="H105" s="155">
        <v>-213.8</v>
      </c>
      <c r="I105" s="155">
        <v>-377.1</v>
      </c>
      <c r="J105" s="155">
        <v>-244.8</v>
      </c>
      <c r="K105" s="277"/>
      <c r="L105" s="278"/>
      <c r="M105" s="278"/>
      <c r="N105" s="278"/>
      <c r="O105" s="279"/>
    </row>
    <row r="106" spans="1:15" ht="18.75" customHeight="1">
      <c r="A106" s="5" t="s">
        <v>455</v>
      </c>
      <c r="B106" s="6" t="s">
        <v>450</v>
      </c>
      <c r="C106" s="155">
        <v>-990.3</v>
      </c>
      <c r="D106" s="155">
        <v>-609.30000000000007</v>
      </c>
      <c r="E106" s="155">
        <v>-228.6</v>
      </c>
      <c r="F106" s="156">
        <f t="shared" si="7"/>
        <v>-228.8</v>
      </c>
      <c r="G106" s="155">
        <v>-57.2</v>
      </c>
      <c r="H106" s="155">
        <v>-57.2</v>
      </c>
      <c r="I106" s="155">
        <v>-57.2</v>
      </c>
      <c r="J106" s="155">
        <v>-57.2</v>
      </c>
      <c r="K106" s="277"/>
      <c r="L106" s="278"/>
      <c r="M106" s="278"/>
      <c r="N106" s="278"/>
      <c r="O106" s="279"/>
    </row>
    <row r="107" spans="1:15" ht="36">
      <c r="A107" s="5" t="s">
        <v>456</v>
      </c>
      <c r="B107" s="6" t="s">
        <v>451</v>
      </c>
      <c r="C107" s="155">
        <v>-4735.5</v>
      </c>
      <c r="D107" s="155">
        <v>-5893.4</v>
      </c>
      <c r="E107" s="155">
        <v>-5774.1</v>
      </c>
      <c r="F107" s="156">
        <f t="shared" si="7"/>
        <v>-5640.2</v>
      </c>
      <c r="G107" s="160">
        <v>-1357.7</v>
      </c>
      <c r="H107" s="160">
        <v>-1414.8</v>
      </c>
      <c r="I107" s="160">
        <v>-1520.9</v>
      </c>
      <c r="J107" s="160">
        <v>-1346.8</v>
      </c>
      <c r="K107" s="277"/>
      <c r="L107" s="278"/>
      <c r="M107" s="278"/>
      <c r="N107" s="278"/>
      <c r="O107" s="279"/>
    </row>
    <row r="108" spans="1:15" s="4" customFormat="1" ht="18.75" customHeight="1">
      <c r="A108" s="7" t="s">
        <v>207</v>
      </c>
      <c r="B108" s="8">
        <v>1100</v>
      </c>
      <c r="C108" s="157">
        <f t="shared" ref="C108:J108" si="8">SUM(C44,C45,C68,C79,C95)</f>
        <v>-62262.500000000029</v>
      </c>
      <c r="D108" s="157">
        <f t="shared" si="8"/>
        <v>-52764.300000000054</v>
      </c>
      <c r="E108" s="157">
        <f t="shared" si="8"/>
        <v>-35222.100000000013</v>
      </c>
      <c r="F108" s="157">
        <f t="shared" si="8"/>
        <v>-86260.900000000081</v>
      </c>
      <c r="G108" s="157">
        <f t="shared" si="8"/>
        <v>-13704.800000000023</v>
      </c>
      <c r="H108" s="157">
        <f t="shared" si="8"/>
        <v>-21832.700000000004</v>
      </c>
      <c r="I108" s="157">
        <f t="shared" si="8"/>
        <v>-26298.400000000005</v>
      </c>
      <c r="J108" s="157">
        <f t="shared" si="8"/>
        <v>-24425.000000000022</v>
      </c>
      <c r="K108" s="259"/>
      <c r="L108" s="259"/>
      <c r="M108" s="259"/>
      <c r="N108" s="259"/>
      <c r="O108" s="259"/>
    </row>
    <row r="109" spans="1:15" s="4" customFormat="1" ht="18.75" customHeight="1">
      <c r="A109" s="7" t="s">
        <v>208</v>
      </c>
      <c r="B109" s="8">
        <v>1110</v>
      </c>
      <c r="C109" s="153">
        <v>0</v>
      </c>
      <c r="D109" s="153">
        <v>0</v>
      </c>
      <c r="E109" s="153">
        <v>0</v>
      </c>
      <c r="F109" s="154">
        <f t="shared" ref="F109:F122" si="9">SUM(G109:J109)</f>
        <v>0</v>
      </c>
      <c r="G109" s="153">
        <v>0</v>
      </c>
      <c r="H109" s="153">
        <v>0</v>
      </c>
      <c r="I109" s="153">
        <v>0</v>
      </c>
      <c r="J109" s="153">
        <v>0</v>
      </c>
      <c r="K109" s="259"/>
      <c r="L109" s="259"/>
      <c r="M109" s="259"/>
      <c r="N109" s="259"/>
      <c r="O109" s="259"/>
    </row>
    <row r="110" spans="1:15" s="4" customFormat="1" ht="18.75" customHeight="1">
      <c r="A110" s="7" t="s">
        <v>209</v>
      </c>
      <c r="B110" s="8">
        <v>1120</v>
      </c>
      <c r="C110" s="153">
        <v>0</v>
      </c>
      <c r="D110" s="153">
        <v>0</v>
      </c>
      <c r="E110" s="153">
        <v>0</v>
      </c>
      <c r="F110" s="154">
        <f t="shared" si="9"/>
        <v>0</v>
      </c>
      <c r="G110" s="153">
        <v>0</v>
      </c>
      <c r="H110" s="153">
        <v>0</v>
      </c>
      <c r="I110" s="153">
        <v>0</v>
      </c>
      <c r="J110" s="153">
        <v>0</v>
      </c>
      <c r="K110" s="259"/>
      <c r="L110" s="259"/>
      <c r="M110" s="259"/>
      <c r="N110" s="259"/>
      <c r="O110" s="259"/>
    </row>
    <row r="111" spans="1:15" s="4" customFormat="1" ht="18.75" customHeight="1">
      <c r="A111" s="7" t="s">
        <v>210</v>
      </c>
      <c r="B111" s="8">
        <v>1130</v>
      </c>
      <c r="C111" s="153">
        <v>0</v>
      </c>
      <c r="D111" s="153">
        <v>0</v>
      </c>
      <c r="E111" s="153">
        <v>0</v>
      </c>
      <c r="F111" s="154">
        <f t="shared" si="9"/>
        <v>0</v>
      </c>
      <c r="G111" s="153">
        <v>0</v>
      </c>
      <c r="H111" s="153">
        <v>0</v>
      </c>
      <c r="I111" s="153">
        <v>0</v>
      </c>
      <c r="J111" s="153">
        <v>0</v>
      </c>
      <c r="K111" s="259"/>
      <c r="L111" s="259"/>
      <c r="M111" s="259"/>
      <c r="N111" s="259"/>
      <c r="O111" s="259"/>
    </row>
    <row r="112" spans="1:15" s="4" customFormat="1" ht="18.75" customHeight="1">
      <c r="A112" s="7" t="s">
        <v>211</v>
      </c>
      <c r="B112" s="8">
        <v>1140</v>
      </c>
      <c r="C112" s="153">
        <f>SUM(C113:C114)</f>
        <v>-30446</v>
      </c>
      <c r="D112" s="153">
        <f t="shared" ref="D112:J112" si="10">SUM(D113:D114)</f>
        <v>-32056.5</v>
      </c>
      <c r="E112" s="153">
        <f t="shared" si="10"/>
        <v>-25424.9</v>
      </c>
      <c r="F112" s="154">
        <f>SUM(F113:F114)</f>
        <v>-25597.5</v>
      </c>
      <c r="G112" s="153">
        <f t="shared" si="10"/>
        <v>-24.1</v>
      </c>
      <c r="H112" s="153">
        <f t="shared" si="10"/>
        <v>-13295.400000000001</v>
      </c>
      <c r="I112" s="153">
        <f t="shared" si="10"/>
        <v>-18</v>
      </c>
      <c r="J112" s="153">
        <f t="shared" si="10"/>
        <v>-12260</v>
      </c>
      <c r="K112" s="259"/>
      <c r="L112" s="259"/>
      <c r="M112" s="259"/>
      <c r="N112" s="259"/>
      <c r="O112" s="259"/>
    </row>
    <row r="113" spans="1:15" ht="18.75" customHeight="1">
      <c r="A113" s="5" t="s">
        <v>457</v>
      </c>
      <c r="B113" s="6" t="s">
        <v>459</v>
      </c>
      <c r="C113" s="155">
        <v>-30424.1</v>
      </c>
      <c r="D113" s="155">
        <v>-32032.799999999999</v>
      </c>
      <c r="E113" s="155">
        <v>-25338</v>
      </c>
      <c r="F113" s="156">
        <f t="shared" ref="F113:F119" si="11">SUM(G113:J113)</f>
        <v>-25519.4</v>
      </c>
      <c r="G113" s="155">
        <v>0</v>
      </c>
      <c r="H113" s="155">
        <v>-13274.2</v>
      </c>
      <c r="I113" s="155">
        <v>0</v>
      </c>
      <c r="J113" s="155">
        <v>-12245.2</v>
      </c>
      <c r="K113" s="280"/>
      <c r="L113" s="281"/>
      <c r="M113" s="281"/>
      <c r="N113" s="281"/>
      <c r="O113" s="282"/>
    </row>
    <row r="114" spans="1:15" ht="18.75" customHeight="1">
      <c r="A114" s="5" t="s">
        <v>458</v>
      </c>
      <c r="B114" s="6" t="s">
        <v>460</v>
      </c>
      <c r="C114" s="155">
        <v>-21.9</v>
      </c>
      <c r="D114" s="155">
        <v>-23.7</v>
      </c>
      <c r="E114" s="155">
        <v>-86.9</v>
      </c>
      <c r="F114" s="156">
        <f t="shared" si="11"/>
        <v>-78.099999999999994</v>
      </c>
      <c r="G114" s="155">
        <v>-24.1</v>
      </c>
      <c r="H114" s="155">
        <v>-21.2</v>
      </c>
      <c r="I114" s="155">
        <v>-18</v>
      </c>
      <c r="J114" s="155">
        <v>-14.8</v>
      </c>
      <c r="K114" s="280"/>
      <c r="L114" s="281"/>
      <c r="M114" s="281"/>
      <c r="N114" s="281"/>
      <c r="O114" s="282"/>
    </row>
    <row r="115" spans="1:15" s="4" customFormat="1" ht="18.75" customHeight="1">
      <c r="A115" s="7" t="s">
        <v>212</v>
      </c>
      <c r="B115" s="8">
        <v>1150</v>
      </c>
      <c r="C115" s="154">
        <f>SUM(C116:C117)</f>
        <v>47357.7</v>
      </c>
      <c r="D115" s="154">
        <f t="shared" ref="D115:E115" si="12">SUM(D116:D117)</f>
        <v>20856.000000000004</v>
      </c>
      <c r="E115" s="154">
        <f t="shared" si="12"/>
        <v>39671.1</v>
      </c>
      <c r="F115" s="154">
        <f t="shared" si="9"/>
        <v>19192.800000000003</v>
      </c>
      <c r="G115" s="154">
        <f>SUM(G116:G117)</f>
        <v>4933.7</v>
      </c>
      <c r="H115" s="154">
        <f>SUM(H116:H117)</f>
        <v>4640.5</v>
      </c>
      <c r="I115" s="154">
        <f>SUM(I116:I117)</f>
        <v>4820.4000000000005</v>
      </c>
      <c r="J115" s="154">
        <f>SUM(J116:J117)</f>
        <v>4798.2</v>
      </c>
      <c r="K115" s="259"/>
      <c r="L115" s="259"/>
      <c r="M115" s="259"/>
      <c r="N115" s="259"/>
      <c r="O115" s="259"/>
    </row>
    <row r="116" spans="1:15" ht="18.75" customHeight="1">
      <c r="A116" s="5" t="s">
        <v>198</v>
      </c>
      <c r="B116" s="6">
        <v>1151</v>
      </c>
      <c r="C116" s="155">
        <v>3393.7</v>
      </c>
      <c r="D116" s="155">
        <v>0</v>
      </c>
      <c r="E116" s="155">
        <v>20840.3</v>
      </c>
      <c r="F116" s="156">
        <f t="shared" si="11"/>
        <v>0</v>
      </c>
      <c r="G116" s="2">
        <v>0</v>
      </c>
      <c r="H116" s="2">
        <v>0</v>
      </c>
      <c r="I116" s="2">
        <v>0</v>
      </c>
      <c r="J116" s="2">
        <v>0</v>
      </c>
      <c r="K116" s="259"/>
      <c r="L116" s="259"/>
      <c r="M116" s="259"/>
      <c r="N116" s="259"/>
      <c r="O116" s="259"/>
    </row>
    <row r="117" spans="1:15" ht="18.75" customHeight="1">
      <c r="A117" s="5" t="s">
        <v>213</v>
      </c>
      <c r="B117" s="6">
        <v>1152</v>
      </c>
      <c r="C117" s="155">
        <f>SUM(C118:C119)</f>
        <v>43964</v>
      </c>
      <c r="D117" s="155">
        <f t="shared" ref="D117:E117" si="13">SUM(D118:D119)</f>
        <v>20856.000000000004</v>
      </c>
      <c r="E117" s="155">
        <f t="shared" si="13"/>
        <v>18830.8</v>
      </c>
      <c r="F117" s="156">
        <f t="shared" si="11"/>
        <v>19192.800000000003</v>
      </c>
      <c r="G117" s="155">
        <f>SUM(G118:G119)</f>
        <v>4933.7</v>
      </c>
      <c r="H117" s="155">
        <f>SUM(H118:H119)</f>
        <v>4640.5</v>
      </c>
      <c r="I117" s="155">
        <f>SUM(I118:I119)</f>
        <v>4820.4000000000005</v>
      </c>
      <c r="J117" s="155">
        <f>SUM(J118:J119)</f>
        <v>4798.2</v>
      </c>
      <c r="K117" s="259"/>
      <c r="L117" s="259"/>
      <c r="M117" s="259"/>
      <c r="N117" s="259"/>
      <c r="O117" s="259"/>
    </row>
    <row r="118" spans="1:15" ht="18.75" customHeight="1">
      <c r="A118" s="159" t="s">
        <v>461</v>
      </c>
      <c r="B118" s="6" t="s">
        <v>463</v>
      </c>
      <c r="C118" s="155">
        <v>41899.800000000003</v>
      </c>
      <c r="D118" s="155">
        <v>18140.300000000003</v>
      </c>
      <c r="E118" s="155">
        <v>17991.2</v>
      </c>
      <c r="F118" s="156">
        <f t="shared" si="11"/>
        <v>18353.2</v>
      </c>
      <c r="G118" s="155">
        <v>4588.3</v>
      </c>
      <c r="H118" s="155">
        <v>4588.3</v>
      </c>
      <c r="I118" s="155">
        <v>4588.3</v>
      </c>
      <c r="J118" s="155">
        <v>4588.3</v>
      </c>
      <c r="K118" s="277"/>
      <c r="L118" s="278"/>
      <c r="M118" s="278"/>
      <c r="N118" s="278"/>
      <c r="O118" s="279"/>
    </row>
    <row r="119" spans="1:15" ht="18.75" customHeight="1">
      <c r="A119" s="159" t="s">
        <v>462</v>
      </c>
      <c r="B119" s="6" t="s">
        <v>464</v>
      </c>
      <c r="C119" s="155">
        <v>2064.1999999999998</v>
      </c>
      <c r="D119" s="155">
        <v>2715.7</v>
      </c>
      <c r="E119" s="155">
        <v>839.6</v>
      </c>
      <c r="F119" s="156">
        <f t="shared" si="11"/>
        <v>839.59999999999991</v>
      </c>
      <c r="G119" s="155">
        <v>345.4</v>
      </c>
      <c r="H119" s="155">
        <v>52.2</v>
      </c>
      <c r="I119" s="155">
        <v>232.1</v>
      </c>
      <c r="J119" s="155">
        <v>209.9</v>
      </c>
      <c r="K119" s="277"/>
      <c r="L119" s="278"/>
      <c r="M119" s="278"/>
      <c r="N119" s="278"/>
      <c r="O119" s="279"/>
    </row>
    <row r="120" spans="1:15" s="4" customFormat="1" ht="18.75" customHeight="1">
      <c r="A120" s="7" t="s">
        <v>214</v>
      </c>
      <c r="B120" s="8">
        <v>1160</v>
      </c>
      <c r="C120" s="154">
        <f>SUM(C121:C122)</f>
        <v>-61439.799999999996</v>
      </c>
      <c r="D120" s="154">
        <f t="shared" ref="D120:J120" si="14">SUM(D121:D122)</f>
        <v>-5546.4</v>
      </c>
      <c r="E120" s="154">
        <f t="shared" si="14"/>
        <v>-12587.9</v>
      </c>
      <c r="F120" s="154">
        <f t="shared" si="9"/>
        <v>-0.8</v>
      </c>
      <c r="G120" s="154">
        <f t="shared" si="14"/>
        <v>-0.8</v>
      </c>
      <c r="H120" s="154">
        <f t="shared" si="14"/>
        <v>0</v>
      </c>
      <c r="I120" s="154">
        <f t="shared" si="14"/>
        <v>0</v>
      </c>
      <c r="J120" s="154">
        <f t="shared" si="14"/>
        <v>0</v>
      </c>
      <c r="K120" s="259"/>
      <c r="L120" s="259"/>
      <c r="M120" s="259"/>
      <c r="N120" s="259"/>
      <c r="O120" s="259"/>
    </row>
    <row r="121" spans="1:15" ht="18.75" customHeight="1">
      <c r="A121" s="5" t="s">
        <v>198</v>
      </c>
      <c r="B121" s="6">
        <v>1161</v>
      </c>
      <c r="C121" s="155">
        <v>-58130.2</v>
      </c>
      <c r="D121" s="155">
        <v>0</v>
      </c>
      <c r="E121" s="155">
        <v>-12587.1</v>
      </c>
      <c r="F121" s="156">
        <f t="shared" si="9"/>
        <v>0</v>
      </c>
      <c r="G121" s="155">
        <v>0</v>
      </c>
      <c r="H121" s="155">
        <v>0</v>
      </c>
      <c r="I121" s="155">
        <v>0</v>
      </c>
      <c r="J121" s="155">
        <v>0</v>
      </c>
      <c r="K121" s="259"/>
      <c r="L121" s="259"/>
      <c r="M121" s="259"/>
      <c r="N121" s="259"/>
      <c r="O121" s="259"/>
    </row>
    <row r="122" spans="1:15" ht="18.75" customHeight="1">
      <c r="A122" s="5" t="s">
        <v>465</v>
      </c>
      <c r="B122" s="6">
        <v>1162</v>
      </c>
      <c r="C122" s="155">
        <v>-3309.6</v>
      </c>
      <c r="D122" s="155">
        <v>-5546.4</v>
      </c>
      <c r="E122" s="155">
        <v>-0.8</v>
      </c>
      <c r="F122" s="156">
        <f t="shared" si="9"/>
        <v>-0.8</v>
      </c>
      <c r="G122" s="155">
        <v>-0.8</v>
      </c>
      <c r="H122" s="155">
        <v>0</v>
      </c>
      <c r="I122" s="155">
        <v>0</v>
      </c>
      <c r="J122" s="155">
        <v>0</v>
      </c>
      <c r="K122" s="259"/>
      <c r="L122" s="259"/>
      <c r="M122" s="259"/>
      <c r="N122" s="259"/>
      <c r="O122" s="259"/>
    </row>
    <row r="123" spans="1:15" ht="18.75" customHeight="1">
      <c r="A123" s="7" t="s">
        <v>215</v>
      </c>
      <c r="B123" s="8">
        <v>1170</v>
      </c>
      <c r="C123" s="157">
        <f t="shared" ref="C123:J123" si="15">SUM(C108,C109,C110,C111,C112,C115,C120)</f>
        <v>-106790.60000000003</v>
      </c>
      <c r="D123" s="157">
        <f t="shared" si="15"/>
        <v>-69511.200000000041</v>
      </c>
      <c r="E123" s="157">
        <f t="shared" si="15"/>
        <v>-33563.800000000017</v>
      </c>
      <c r="F123" s="157">
        <f t="shared" si="15"/>
        <v>-92666.400000000081</v>
      </c>
      <c r="G123" s="157">
        <f t="shared" si="15"/>
        <v>-8796.0000000000218</v>
      </c>
      <c r="H123" s="157">
        <f t="shared" si="15"/>
        <v>-30487.600000000006</v>
      </c>
      <c r="I123" s="157">
        <f t="shared" si="15"/>
        <v>-21496.000000000004</v>
      </c>
      <c r="J123" s="157">
        <f t="shared" si="15"/>
        <v>-31886.800000000021</v>
      </c>
      <c r="K123" s="259"/>
      <c r="L123" s="259"/>
      <c r="M123" s="259"/>
      <c r="N123" s="259"/>
      <c r="O123" s="259"/>
    </row>
    <row r="124" spans="1:15" ht="18.75" customHeight="1">
      <c r="A124" s="5" t="s">
        <v>216</v>
      </c>
      <c r="B124" s="114">
        <v>1180</v>
      </c>
      <c r="C124" s="155">
        <v>0</v>
      </c>
      <c r="D124" s="155">
        <v>0</v>
      </c>
      <c r="E124" s="155">
        <v>0</v>
      </c>
      <c r="F124" s="156">
        <f>SUM(G124:J124)</f>
        <v>0</v>
      </c>
      <c r="G124" s="155">
        <v>0</v>
      </c>
      <c r="H124" s="155">
        <v>0</v>
      </c>
      <c r="I124" s="155">
        <v>0</v>
      </c>
      <c r="J124" s="155">
        <v>0</v>
      </c>
      <c r="K124" s="259"/>
      <c r="L124" s="259"/>
      <c r="M124" s="259"/>
      <c r="N124" s="259"/>
      <c r="O124" s="259"/>
    </row>
    <row r="125" spans="1:15" ht="18.75" customHeight="1">
      <c r="A125" s="5" t="s">
        <v>217</v>
      </c>
      <c r="B125" s="114">
        <v>1181</v>
      </c>
      <c r="C125" s="155">
        <v>719.8</v>
      </c>
      <c r="D125" s="155">
        <v>0</v>
      </c>
      <c r="E125" s="155">
        <v>0</v>
      </c>
      <c r="F125" s="156">
        <f>SUM(G125:J125)</f>
        <v>0</v>
      </c>
      <c r="G125" s="155">
        <v>0</v>
      </c>
      <c r="H125" s="155">
        <v>0</v>
      </c>
      <c r="I125" s="155">
        <v>0</v>
      </c>
      <c r="J125" s="155">
        <v>0</v>
      </c>
      <c r="K125" s="259"/>
      <c r="L125" s="259"/>
      <c r="M125" s="259"/>
      <c r="N125" s="259"/>
      <c r="O125" s="259"/>
    </row>
    <row r="126" spans="1:15" ht="18.75" customHeight="1">
      <c r="A126" s="5" t="s">
        <v>218</v>
      </c>
      <c r="B126" s="6">
        <v>1190</v>
      </c>
      <c r="C126" s="155">
        <v>0</v>
      </c>
      <c r="D126" s="155">
        <v>0</v>
      </c>
      <c r="E126" s="155">
        <v>0</v>
      </c>
      <c r="F126" s="156">
        <f>SUM(G126:J126)</f>
        <v>0</v>
      </c>
      <c r="G126" s="155">
        <v>0</v>
      </c>
      <c r="H126" s="155">
        <v>0</v>
      </c>
      <c r="I126" s="155">
        <v>0</v>
      </c>
      <c r="J126" s="155">
        <v>0</v>
      </c>
      <c r="K126" s="259"/>
      <c r="L126" s="259"/>
      <c r="M126" s="259"/>
      <c r="N126" s="259"/>
      <c r="O126" s="259"/>
    </row>
    <row r="127" spans="1:15" ht="18.75" customHeight="1">
      <c r="A127" s="5" t="s">
        <v>219</v>
      </c>
      <c r="B127" s="116">
        <v>1191</v>
      </c>
      <c r="C127" s="155">
        <v>0</v>
      </c>
      <c r="D127" s="155">
        <v>0</v>
      </c>
      <c r="E127" s="155">
        <v>0</v>
      </c>
      <c r="F127" s="156">
        <f>SUM(G127:J127)</f>
        <v>0</v>
      </c>
      <c r="G127" s="155">
        <v>0</v>
      </c>
      <c r="H127" s="155">
        <v>0</v>
      </c>
      <c r="I127" s="155">
        <v>0</v>
      </c>
      <c r="J127" s="155">
        <v>0</v>
      </c>
      <c r="K127" s="259"/>
      <c r="L127" s="259"/>
      <c r="M127" s="259"/>
      <c r="N127" s="259"/>
      <c r="O127" s="259"/>
    </row>
    <row r="128" spans="1:15" ht="18.75" customHeight="1">
      <c r="A128" s="7" t="s">
        <v>220</v>
      </c>
      <c r="B128" s="8">
        <v>1200</v>
      </c>
      <c r="C128" s="157">
        <f>SUM(C123,C124,C125,C126,C127)</f>
        <v>-106070.80000000003</v>
      </c>
      <c r="D128" s="157">
        <f t="shared" ref="D128:J128" si="16">SUM(D123,D124,D125,D126,D127)</f>
        <v>-69511.200000000041</v>
      </c>
      <c r="E128" s="157">
        <f t="shared" si="16"/>
        <v>-33563.800000000017</v>
      </c>
      <c r="F128" s="157">
        <f t="shared" si="16"/>
        <v>-92666.400000000081</v>
      </c>
      <c r="G128" s="157">
        <f t="shared" si="16"/>
        <v>-8796.0000000000218</v>
      </c>
      <c r="H128" s="157">
        <f t="shared" si="16"/>
        <v>-30487.600000000006</v>
      </c>
      <c r="I128" s="157">
        <f t="shared" si="16"/>
        <v>-21496.000000000004</v>
      </c>
      <c r="J128" s="157">
        <f t="shared" si="16"/>
        <v>-31886.800000000021</v>
      </c>
      <c r="K128" s="259"/>
      <c r="L128" s="259"/>
      <c r="M128" s="259"/>
      <c r="N128" s="259"/>
      <c r="O128" s="259"/>
    </row>
    <row r="129" spans="1:15" ht="18.75" customHeight="1">
      <c r="A129" s="5" t="s">
        <v>221</v>
      </c>
      <c r="B129" s="116">
        <v>1201</v>
      </c>
      <c r="C129" s="158">
        <f t="shared" ref="C129:J129" si="17">IF(C128&gt;0,C128,0)</f>
        <v>0</v>
      </c>
      <c r="D129" s="158">
        <f t="shared" si="17"/>
        <v>0</v>
      </c>
      <c r="E129" s="158">
        <f t="shared" si="17"/>
        <v>0</v>
      </c>
      <c r="F129" s="158">
        <f t="shared" si="17"/>
        <v>0</v>
      </c>
      <c r="G129" s="158">
        <f t="shared" si="17"/>
        <v>0</v>
      </c>
      <c r="H129" s="158">
        <f t="shared" si="17"/>
        <v>0</v>
      </c>
      <c r="I129" s="158">
        <f t="shared" si="17"/>
        <v>0</v>
      </c>
      <c r="J129" s="158">
        <f t="shared" si="17"/>
        <v>0</v>
      </c>
      <c r="K129" s="259"/>
      <c r="L129" s="259"/>
      <c r="M129" s="259"/>
      <c r="N129" s="259"/>
      <c r="O129" s="259"/>
    </row>
    <row r="130" spans="1:15" ht="18.75" customHeight="1">
      <c r="A130" s="5" t="s">
        <v>222</v>
      </c>
      <c r="B130" s="116">
        <v>1202</v>
      </c>
      <c r="C130" s="158">
        <f t="shared" ref="C130:J130" si="18">IF(C128&lt;0,C128,0)</f>
        <v>-106070.80000000003</v>
      </c>
      <c r="D130" s="158">
        <f t="shared" si="18"/>
        <v>-69511.200000000041</v>
      </c>
      <c r="E130" s="158">
        <f t="shared" si="18"/>
        <v>-33563.800000000017</v>
      </c>
      <c r="F130" s="158">
        <f t="shared" si="18"/>
        <v>-92666.400000000081</v>
      </c>
      <c r="G130" s="158">
        <f t="shared" si="18"/>
        <v>-8796.0000000000218</v>
      </c>
      <c r="H130" s="158">
        <f t="shared" si="18"/>
        <v>-30487.600000000006</v>
      </c>
      <c r="I130" s="158">
        <f t="shared" si="18"/>
        <v>-21496.000000000004</v>
      </c>
      <c r="J130" s="158">
        <f t="shared" si="18"/>
        <v>-31886.800000000021</v>
      </c>
      <c r="K130" s="259"/>
      <c r="L130" s="259"/>
      <c r="M130" s="259"/>
      <c r="N130" s="259"/>
      <c r="O130" s="259"/>
    </row>
    <row r="131" spans="1:15" ht="18.75" customHeight="1">
      <c r="A131" s="7" t="s">
        <v>223</v>
      </c>
      <c r="B131" s="6">
        <v>1210</v>
      </c>
      <c r="C131" s="157">
        <f t="shared" ref="C131:J131" si="19">SUM(C24,C79,C109,C111,C115,C125,C126)</f>
        <v>447129.2</v>
      </c>
      <c r="D131" s="157">
        <f t="shared" si="19"/>
        <v>453373.1</v>
      </c>
      <c r="E131" s="157">
        <f t="shared" si="19"/>
        <v>485661.1</v>
      </c>
      <c r="F131" s="157">
        <f t="shared" si="19"/>
        <v>468009.7</v>
      </c>
      <c r="G131" s="157">
        <f t="shared" si="19"/>
        <v>115620.59999999999</v>
      </c>
      <c r="H131" s="157">
        <f t="shared" si="19"/>
        <v>117276.2</v>
      </c>
      <c r="I131" s="157">
        <f t="shared" si="19"/>
        <v>119271.7</v>
      </c>
      <c r="J131" s="157">
        <f t="shared" si="19"/>
        <v>115841.2</v>
      </c>
      <c r="K131" s="259"/>
      <c r="L131" s="259"/>
      <c r="M131" s="259"/>
      <c r="N131" s="259"/>
      <c r="O131" s="259"/>
    </row>
    <row r="132" spans="1:15" ht="18.75" customHeight="1">
      <c r="A132" s="7" t="s">
        <v>224</v>
      </c>
      <c r="B132" s="6">
        <v>1220</v>
      </c>
      <c r="C132" s="157">
        <f t="shared" ref="C132:J132" si="20">SUM(C25,C45,C68,C95,C110,C112,C120,C124,C127)</f>
        <v>-553200</v>
      </c>
      <c r="D132" s="157">
        <f t="shared" si="20"/>
        <v>-522884.30000000005</v>
      </c>
      <c r="E132" s="157">
        <f t="shared" si="20"/>
        <v>-519224.9</v>
      </c>
      <c r="F132" s="157">
        <f t="shared" si="20"/>
        <v>-560676.10000000009</v>
      </c>
      <c r="G132" s="157">
        <f t="shared" si="20"/>
        <v>-124416.60000000002</v>
      </c>
      <c r="H132" s="157">
        <f t="shared" si="20"/>
        <v>-147763.80000000002</v>
      </c>
      <c r="I132" s="157">
        <f t="shared" si="20"/>
        <v>-140767.70000000001</v>
      </c>
      <c r="J132" s="157">
        <f t="shared" si="20"/>
        <v>-147728.00000000003</v>
      </c>
      <c r="K132" s="259"/>
      <c r="L132" s="259"/>
      <c r="M132" s="259"/>
      <c r="N132" s="259"/>
      <c r="O132" s="259"/>
    </row>
    <row r="133" spans="1:15" ht="18.75" customHeight="1">
      <c r="A133" s="5" t="s">
        <v>225</v>
      </c>
      <c r="B133" s="6">
        <v>1230</v>
      </c>
      <c r="C133" s="155"/>
      <c r="D133" s="155"/>
      <c r="E133" s="155"/>
      <c r="F133" s="156">
        <f>SUM(G133:J133)</f>
        <v>0</v>
      </c>
      <c r="G133" s="155"/>
      <c r="H133" s="155"/>
      <c r="I133" s="155"/>
      <c r="J133" s="155"/>
      <c r="K133" s="259"/>
      <c r="L133" s="259"/>
      <c r="M133" s="259"/>
      <c r="N133" s="259"/>
      <c r="O133" s="259"/>
    </row>
    <row r="134" spans="1:15" ht="38.25" customHeight="1">
      <c r="A134" s="103" t="s">
        <v>226</v>
      </c>
      <c r="B134" s="8">
        <v>1300</v>
      </c>
      <c r="C134" s="157">
        <f t="shared" ref="C134:J134" si="21">C108+C141</f>
        <v>-148.5000000000291</v>
      </c>
      <c r="D134" s="157">
        <f t="shared" si="21"/>
        <v>13261.499999999949</v>
      </c>
      <c r="E134" s="157">
        <f t="shared" si="21"/>
        <v>31081.499999999993</v>
      </c>
      <c r="F134" s="157">
        <f>F108+F141</f>
        <v>-16120.300000000076</v>
      </c>
      <c r="G134" s="157">
        <f t="shared" si="21"/>
        <v>3834.6999999999771</v>
      </c>
      <c r="H134" s="157">
        <f t="shared" si="21"/>
        <v>-4287.7000000000044</v>
      </c>
      <c r="I134" s="157">
        <f t="shared" si="21"/>
        <v>-8765.0000000000036</v>
      </c>
      <c r="J134" s="157">
        <f t="shared" si="21"/>
        <v>-6902.3000000000211</v>
      </c>
      <c r="K134" s="302"/>
      <c r="L134" s="303"/>
      <c r="M134" s="303"/>
      <c r="N134" s="303"/>
      <c r="O134" s="304"/>
    </row>
    <row r="135" spans="1:15" ht="18.75" customHeight="1">
      <c r="A135" s="292" t="s">
        <v>227</v>
      </c>
      <c r="B135" s="300"/>
      <c r="C135" s="300"/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1"/>
    </row>
    <row r="136" spans="1:15" ht="18.75" customHeight="1">
      <c r="A136" s="5" t="s">
        <v>228</v>
      </c>
      <c r="B136" s="6">
        <v>1400</v>
      </c>
      <c r="C136" s="155">
        <f>C137+C138</f>
        <v>147434.09999999998</v>
      </c>
      <c r="D136" s="155">
        <f t="shared" ref="D136:J136" si="22">D137+D138</f>
        <v>179600</v>
      </c>
      <c r="E136" s="155">
        <f t="shared" si="22"/>
        <v>160554.59999999998</v>
      </c>
      <c r="F136" s="156">
        <f t="shared" si="22"/>
        <v>196952.6</v>
      </c>
      <c r="G136" s="155">
        <f t="shared" si="22"/>
        <v>42337.799999999996</v>
      </c>
      <c r="H136" s="155">
        <f t="shared" si="22"/>
        <v>48981.3</v>
      </c>
      <c r="I136" s="155">
        <f t="shared" si="22"/>
        <v>53273.8</v>
      </c>
      <c r="J136" s="155">
        <f t="shared" si="22"/>
        <v>52359.700000000004</v>
      </c>
      <c r="K136" s="259"/>
      <c r="L136" s="259"/>
      <c r="M136" s="259"/>
      <c r="N136" s="259"/>
      <c r="O136" s="259"/>
    </row>
    <row r="137" spans="1:15" ht="18.75" customHeight="1">
      <c r="A137" s="5" t="s">
        <v>229</v>
      </c>
      <c r="B137" s="61">
        <v>1401</v>
      </c>
      <c r="C137" s="155">
        <v>36307.699999999997</v>
      </c>
      <c r="D137" s="155">
        <v>38368</v>
      </c>
      <c r="E137" s="155">
        <v>34955.5</v>
      </c>
      <c r="F137" s="156">
        <f t="shared" ref="F137:F143" si="23">SUM(G137:J137)</f>
        <v>38974.9</v>
      </c>
      <c r="G137" s="155">
        <v>7939.6</v>
      </c>
      <c r="H137" s="155">
        <v>9402.6</v>
      </c>
      <c r="I137" s="155">
        <v>12529.2</v>
      </c>
      <c r="J137" s="155">
        <v>9103.5</v>
      </c>
      <c r="K137" s="259"/>
      <c r="L137" s="259"/>
      <c r="M137" s="259"/>
      <c r="N137" s="259"/>
      <c r="O137" s="259"/>
    </row>
    <row r="138" spans="1:15" ht="18.75" customHeight="1">
      <c r="A138" s="5" t="s">
        <v>230</v>
      </c>
      <c r="B138" s="61">
        <v>1402</v>
      </c>
      <c r="C138" s="155">
        <v>111126.39999999999</v>
      </c>
      <c r="D138" s="155">
        <v>141232</v>
      </c>
      <c r="E138" s="155">
        <f>14316.9+104538.2+6744</f>
        <v>125599.09999999999</v>
      </c>
      <c r="F138" s="156">
        <f t="shared" si="23"/>
        <v>157977.70000000001</v>
      </c>
      <c r="G138" s="155">
        <f>5281.3+21964.4+7152.5</f>
        <v>34398.199999999997</v>
      </c>
      <c r="H138" s="155">
        <f>2563.4+37015.3</f>
        <v>39578.700000000004</v>
      </c>
      <c r="I138" s="155">
        <f>2554.8+38189.8</f>
        <v>40744.600000000006</v>
      </c>
      <c r="J138" s="155">
        <f>2601.3+40654.9</f>
        <v>43256.200000000004</v>
      </c>
      <c r="K138" s="259"/>
      <c r="L138" s="259"/>
      <c r="M138" s="259"/>
      <c r="N138" s="259"/>
      <c r="O138" s="259"/>
    </row>
    <row r="139" spans="1:15" ht="18.75" customHeight="1">
      <c r="A139" s="5" t="s">
        <v>111</v>
      </c>
      <c r="B139" s="62">
        <v>1410</v>
      </c>
      <c r="C139" s="155">
        <v>125338.8</v>
      </c>
      <c r="D139" s="155">
        <v>134038.9</v>
      </c>
      <c r="E139" s="155">
        <v>136753.60000000001</v>
      </c>
      <c r="F139" s="156">
        <f t="shared" si="23"/>
        <v>151082.9</v>
      </c>
      <c r="G139" s="155">
        <v>37320.199999999997</v>
      </c>
      <c r="H139" s="155">
        <v>37680.6</v>
      </c>
      <c r="I139" s="155">
        <v>38041.1</v>
      </c>
      <c r="J139" s="155">
        <v>38041</v>
      </c>
      <c r="K139" s="259"/>
      <c r="L139" s="259"/>
      <c r="M139" s="259"/>
      <c r="N139" s="259"/>
      <c r="O139" s="259"/>
    </row>
    <row r="140" spans="1:15" ht="18.75" customHeight="1">
      <c r="A140" s="5" t="s">
        <v>165</v>
      </c>
      <c r="B140" s="62">
        <v>1420</v>
      </c>
      <c r="C140" s="155">
        <v>26865.1</v>
      </c>
      <c r="D140" s="155">
        <v>28709.5</v>
      </c>
      <c r="E140" s="155">
        <v>29549.5</v>
      </c>
      <c r="F140" s="156">
        <f t="shared" si="23"/>
        <v>32553.7</v>
      </c>
      <c r="G140" s="155">
        <v>8031.5</v>
      </c>
      <c r="H140" s="155">
        <v>8162</v>
      </c>
      <c r="I140" s="155">
        <v>8166.9</v>
      </c>
      <c r="J140" s="155">
        <v>8193.2999999999993</v>
      </c>
      <c r="K140" s="259"/>
      <c r="L140" s="259"/>
      <c r="M140" s="259"/>
      <c r="N140" s="259"/>
      <c r="O140" s="259"/>
    </row>
    <row r="141" spans="1:15" ht="18.75" customHeight="1">
      <c r="A141" s="5" t="s">
        <v>231</v>
      </c>
      <c r="B141" s="62">
        <v>1430</v>
      </c>
      <c r="C141" s="155">
        <v>62114</v>
      </c>
      <c r="D141" s="155">
        <v>66025.8</v>
      </c>
      <c r="E141" s="155">
        <v>66303.600000000006</v>
      </c>
      <c r="F141" s="156">
        <f t="shared" si="23"/>
        <v>70140.600000000006</v>
      </c>
      <c r="G141" s="155">
        <v>17539.5</v>
      </c>
      <c r="H141" s="155">
        <v>17545</v>
      </c>
      <c r="I141" s="155">
        <v>17533.400000000001</v>
      </c>
      <c r="J141" s="155">
        <v>17522.7</v>
      </c>
      <c r="K141" s="259"/>
      <c r="L141" s="259"/>
      <c r="M141" s="259"/>
      <c r="N141" s="259"/>
      <c r="O141" s="259"/>
    </row>
    <row r="142" spans="1:15" ht="18.75" customHeight="1">
      <c r="A142" s="5" t="s">
        <v>232</v>
      </c>
      <c r="B142" s="62">
        <v>1440</v>
      </c>
      <c r="C142" s="155">
        <v>97647.4</v>
      </c>
      <c r="D142" s="155">
        <v>75352</v>
      </c>
      <c r="E142" s="155">
        <v>86942.8</v>
      </c>
      <c r="F142" s="156">
        <f t="shared" si="23"/>
        <v>83140.299999999988</v>
      </c>
      <c r="G142" s="155">
        <v>18968.400000000001</v>
      </c>
      <c r="H142" s="155">
        <v>21820.799999999999</v>
      </c>
      <c r="I142" s="155">
        <v>23295.7</v>
      </c>
      <c r="J142" s="155">
        <v>19055.400000000001</v>
      </c>
      <c r="K142" s="259"/>
      <c r="L142" s="259"/>
      <c r="M142" s="259"/>
      <c r="N142" s="259"/>
      <c r="O142" s="259"/>
    </row>
    <row r="143" spans="1:15" ht="18.75" customHeight="1">
      <c r="A143" s="7" t="s">
        <v>153</v>
      </c>
      <c r="B143" s="63">
        <v>1450</v>
      </c>
      <c r="C143" s="157">
        <f>SUM(C136,C139:C142)</f>
        <v>459399.39999999991</v>
      </c>
      <c r="D143" s="157">
        <f>SUM(D136,D139:D142)</f>
        <v>483726.2</v>
      </c>
      <c r="E143" s="157">
        <f>SUM(E136,E139:E142)</f>
        <v>480104.09999999992</v>
      </c>
      <c r="F143" s="154">
        <f t="shared" si="23"/>
        <v>533870.1</v>
      </c>
      <c r="G143" s="157">
        <f>SUM(G136,G139:G142)</f>
        <v>124197.4</v>
      </c>
      <c r="H143" s="157">
        <f>SUM(H136,H139:H142)</f>
        <v>134189.69999999998</v>
      </c>
      <c r="I143" s="157">
        <f>SUM(I136,I139:I142)</f>
        <v>140310.9</v>
      </c>
      <c r="J143" s="157">
        <f>SUM(J136,J139:J142)</f>
        <v>135172.1</v>
      </c>
      <c r="K143" s="259"/>
      <c r="L143" s="259"/>
      <c r="M143" s="259"/>
      <c r="N143" s="259"/>
      <c r="O143" s="259"/>
    </row>
    <row r="144" spans="1:15" s="4" customFormat="1" ht="18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</row>
    <row r="145" spans="1:15" s="176" customFormat="1" ht="18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</row>
    <row r="146" spans="1:15" s="176" customFormat="1" ht="18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</row>
    <row r="147" spans="1:15" s="176" customFormat="1" ht="18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</row>
    <row r="148" spans="1:15" s="176" customFormat="1" ht="18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</row>
    <row r="149" spans="1:15" s="176" customFormat="1" ht="18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</row>
    <row r="150" spans="1:15" ht="18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</row>
    <row r="151" spans="1:15" s="144" customFormat="1" ht="18.75" customHeight="1">
      <c r="A151" s="145" t="s">
        <v>536</v>
      </c>
      <c r="B151" s="142"/>
      <c r="C151" s="143"/>
      <c r="D151" s="143"/>
      <c r="E151" s="143"/>
      <c r="F151" s="142"/>
      <c r="G151" s="142"/>
      <c r="H151" s="305" t="s">
        <v>398</v>
      </c>
      <c r="I151" s="305"/>
      <c r="J151" s="305"/>
      <c r="K151" s="305"/>
      <c r="L151" s="305"/>
      <c r="M151" s="142"/>
    </row>
    <row r="152" spans="1:15" ht="18.75" customHeight="1">
      <c r="A152" s="16" t="s">
        <v>233</v>
      </c>
      <c r="B152" s="80"/>
      <c r="C152" s="126"/>
      <c r="D152" s="126" t="s">
        <v>138</v>
      </c>
      <c r="E152" s="126"/>
      <c r="F152" s="80"/>
      <c r="G152" s="80"/>
      <c r="H152" s="285" t="s">
        <v>139</v>
      </c>
      <c r="I152" s="285"/>
      <c r="J152" s="285"/>
      <c r="K152" s="285"/>
      <c r="L152" s="285"/>
    </row>
    <row r="153" spans="1:15" ht="18.75" customHeight="1">
      <c r="A153" s="16"/>
      <c r="B153" s="80"/>
    </row>
    <row r="154" spans="1:15">
      <c r="A154" s="16"/>
      <c r="B154" s="126"/>
    </row>
    <row r="155" spans="1:15">
      <c r="A155" s="16"/>
      <c r="B155" s="126"/>
    </row>
    <row r="156" spans="1:15">
      <c r="A156" s="16"/>
      <c r="B156" s="126"/>
    </row>
    <row r="157" spans="1:15">
      <c r="A157" s="16"/>
      <c r="B157" s="126"/>
    </row>
    <row r="158" spans="1:15">
      <c r="A158" s="16"/>
      <c r="B158" s="126"/>
    </row>
    <row r="159" spans="1:15">
      <c r="A159" s="16"/>
      <c r="B159" s="126"/>
    </row>
    <row r="160" spans="1:15">
      <c r="A160" s="16"/>
      <c r="B160" s="126"/>
    </row>
    <row r="161" spans="1:2">
      <c r="A161" s="16"/>
      <c r="B161" s="126"/>
    </row>
    <row r="162" spans="1:2">
      <c r="A162" s="16"/>
      <c r="B162" s="126"/>
    </row>
    <row r="163" spans="1:2">
      <c r="A163" s="16"/>
      <c r="B163" s="126"/>
    </row>
    <row r="164" spans="1:2">
      <c r="A164" s="16"/>
      <c r="B164" s="126"/>
    </row>
    <row r="165" spans="1:2">
      <c r="A165" s="16"/>
      <c r="B165" s="126"/>
    </row>
    <row r="166" spans="1:2">
      <c r="A166" s="16"/>
      <c r="B166" s="126"/>
    </row>
    <row r="167" spans="1:2">
      <c r="A167" s="16"/>
      <c r="B167" s="126"/>
    </row>
    <row r="168" spans="1:2">
      <c r="A168" s="16"/>
      <c r="B168" s="126"/>
    </row>
    <row r="169" spans="1:2">
      <c r="A169" s="16"/>
    </row>
    <row r="170" spans="1:2">
      <c r="A170" s="16"/>
    </row>
    <row r="171" spans="1:2">
      <c r="A171" s="16"/>
    </row>
    <row r="172" spans="1:2">
      <c r="A172" s="16"/>
    </row>
    <row r="173" spans="1:2">
      <c r="A173" s="16"/>
    </row>
    <row r="174" spans="1:2">
      <c r="A174" s="16"/>
    </row>
    <row r="175" spans="1:2">
      <c r="A175" s="16"/>
    </row>
    <row r="176" spans="1:2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  <row r="266" spans="1:1">
      <c r="A266" s="16"/>
    </row>
    <row r="267" spans="1:1">
      <c r="A267" s="16"/>
    </row>
    <row r="268" spans="1:1">
      <c r="A268" s="16"/>
    </row>
    <row r="269" spans="1:1">
      <c r="A269" s="16"/>
    </row>
    <row r="270" spans="1:1">
      <c r="A270" s="16"/>
    </row>
    <row r="271" spans="1:1">
      <c r="A271" s="16"/>
    </row>
    <row r="272" spans="1:1">
      <c r="A272" s="16"/>
    </row>
    <row r="273" spans="1:1">
      <c r="A273" s="16"/>
    </row>
    <row r="274" spans="1:1">
      <c r="A274" s="16"/>
    </row>
    <row r="275" spans="1:1">
      <c r="A275" s="16"/>
    </row>
    <row r="276" spans="1:1">
      <c r="A276" s="16"/>
    </row>
    <row r="277" spans="1:1">
      <c r="A277" s="16"/>
    </row>
    <row r="278" spans="1:1">
      <c r="A278" s="16"/>
    </row>
    <row r="279" spans="1:1">
      <c r="A279" s="16"/>
    </row>
    <row r="280" spans="1:1">
      <c r="A280" s="16"/>
    </row>
    <row r="281" spans="1:1">
      <c r="A281" s="16"/>
    </row>
    <row r="282" spans="1:1">
      <c r="A282" s="16"/>
    </row>
    <row r="283" spans="1:1">
      <c r="A283" s="16"/>
    </row>
    <row r="284" spans="1:1">
      <c r="A284" s="16"/>
    </row>
    <row r="285" spans="1:1">
      <c r="A285" s="16"/>
    </row>
    <row r="286" spans="1:1">
      <c r="A286" s="16"/>
    </row>
    <row r="287" spans="1:1">
      <c r="A287" s="16"/>
    </row>
    <row r="288" spans="1:1">
      <c r="A288" s="16"/>
    </row>
    <row r="289" spans="1:1">
      <c r="A289" s="16"/>
    </row>
    <row r="290" spans="1:1">
      <c r="A290" s="16"/>
    </row>
    <row r="291" spans="1:1">
      <c r="A291" s="16"/>
    </row>
    <row r="292" spans="1:1">
      <c r="A292" s="16"/>
    </row>
    <row r="293" spans="1:1">
      <c r="A293" s="16"/>
    </row>
    <row r="294" spans="1:1">
      <c r="A294" s="16"/>
    </row>
    <row r="295" spans="1:1">
      <c r="A295" s="16"/>
    </row>
    <row r="296" spans="1:1">
      <c r="A296" s="16"/>
    </row>
    <row r="297" spans="1:1">
      <c r="A297" s="16"/>
    </row>
    <row r="298" spans="1:1">
      <c r="A298" s="16"/>
    </row>
    <row r="299" spans="1:1">
      <c r="A299" s="16"/>
    </row>
    <row r="300" spans="1:1">
      <c r="A300" s="16"/>
    </row>
  </sheetData>
  <mergeCells count="146">
    <mergeCell ref="H151:L151"/>
    <mergeCell ref="E21:E22"/>
    <mergeCell ref="K129:O129"/>
    <mergeCell ref="G21:J21"/>
    <mergeCell ref="K122:O122"/>
    <mergeCell ref="K123:O123"/>
    <mergeCell ref="K124:O124"/>
    <mergeCell ref="K21:O22"/>
    <mergeCell ref="K23:O23"/>
    <mergeCell ref="F21:F22"/>
    <mergeCell ref="K71:O71"/>
    <mergeCell ref="K72:O72"/>
    <mergeCell ref="K61:O61"/>
    <mergeCell ref="K62:O62"/>
    <mergeCell ref="K63:O63"/>
    <mergeCell ref="K64:O64"/>
    <mergeCell ref="K65:O65"/>
    <mergeCell ref="K66:O66"/>
    <mergeCell ref="K55:O55"/>
    <mergeCell ref="K56:O56"/>
    <mergeCell ref="K57:O57"/>
    <mergeCell ref="K58:O58"/>
    <mergeCell ref="K74:O74"/>
    <mergeCell ref="K73:O73"/>
    <mergeCell ref="K75:O75"/>
    <mergeCell ref="K79:O79"/>
    <mergeCell ref="K80:O80"/>
    <mergeCell ref="K81:O81"/>
    <mergeCell ref="K67:O67"/>
    <mergeCell ref="K68:O68"/>
    <mergeCell ref="K69:O69"/>
    <mergeCell ref="K70:O70"/>
    <mergeCell ref="K100:O100"/>
    <mergeCell ref="K76:O76"/>
    <mergeCell ref="K77:O77"/>
    <mergeCell ref="K78:O78"/>
    <mergeCell ref="K83:O83"/>
    <mergeCell ref="K84:O84"/>
    <mergeCell ref="K85:O85"/>
    <mergeCell ref="K86:O86"/>
    <mergeCell ref="K87:O87"/>
    <mergeCell ref="K88:O88"/>
    <mergeCell ref="K89:O89"/>
    <mergeCell ref="K90:O90"/>
    <mergeCell ref="K91:O91"/>
    <mergeCell ref="K93:O93"/>
    <mergeCell ref="K94:O94"/>
    <mergeCell ref="K101:O101"/>
    <mergeCell ref="K108:O108"/>
    <mergeCell ref="K109:O109"/>
    <mergeCell ref="K110:O110"/>
    <mergeCell ref="K111:O111"/>
    <mergeCell ref="K82:O82"/>
    <mergeCell ref="K142:O142"/>
    <mergeCell ref="K143:O143"/>
    <mergeCell ref="K140:O140"/>
    <mergeCell ref="K141:O141"/>
    <mergeCell ref="A135:O135"/>
    <mergeCell ref="K131:O131"/>
    <mergeCell ref="K125:O125"/>
    <mergeCell ref="K126:O126"/>
    <mergeCell ref="K95:O95"/>
    <mergeCell ref="K96:O96"/>
    <mergeCell ref="K97:O97"/>
    <mergeCell ref="K98:O98"/>
    <mergeCell ref="K99:O99"/>
    <mergeCell ref="K139:O139"/>
    <mergeCell ref="K134:O134"/>
    <mergeCell ref="K130:O130"/>
    <mergeCell ref="K132:O132"/>
    <mergeCell ref="K133:O133"/>
    <mergeCell ref="K127:O127"/>
    <mergeCell ref="K128:O128"/>
    <mergeCell ref="K112:O112"/>
    <mergeCell ref="K115:O115"/>
    <mergeCell ref="K116:O116"/>
    <mergeCell ref="K117:O117"/>
    <mergeCell ref="K120:O120"/>
    <mergeCell ref="K121:O121"/>
    <mergeCell ref="A1:N1"/>
    <mergeCell ref="B6:E6"/>
    <mergeCell ref="F6:O6"/>
    <mergeCell ref="B7:E7"/>
    <mergeCell ref="F7:O7"/>
    <mergeCell ref="K59:O59"/>
    <mergeCell ref="K60:O60"/>
    <mergeCell ref="K49:O49"/>
    <mergeCell ref="K50:O50"/>
    <mergeCell ref="K51:O51"/>
    <mergeCell ref="K52:O52"/>
    <mergeCell ref="K53:O53"/>
    <mergeCell ref="K54:O54"/>
    <mergeCell ref="K37:O37"/>
    <mergeCell ref="K44:O44"/>
    <mergeCell ref="K45:O45"/>
    <mergeCell ref="K46:O46"/>
    <mergeCell ref="K47:O47"/>
    <mergeCell ref="K48:O48"/>
    <mergeCell ref="A21:A22"/>
    <mergeCell ref="K35:O35"/>
    <mergeCell ref="B21:B22"/>
    <mergeCell ref="C21:C22"/>
    <mergeCell ref="D21:D22"/>
    <mergeCell ref="K32:O32"/>
    <mergeCell ref="K38:O38"/>
    <mergeCell ref="K39:O39"/>
    <mergeCell ref="K40:O40"/>
    <mergeCell ref="K41:O41"/>
    <mergeCell ref="K42:O42"/>
    <mergeCell ref="K43:O43"/>
    <mergeCell ref="K28:O28"/>
    <mergeCell ref="K30:O30"/>
    <mergeCell ref="A19:K19"/>
    <mergeCell ref="D11:F11"/>
    <mergeCell ref="M11:O11"/>
    <mergeCell ref="G11:I11"/>
    <mergeCell ref="B11:C11"/>
    <mergeCell ref="H152:L152"/>
    <mergeCell ref="A3:O3"/>
    <mergeCell ref="B5:E5"/>
    <mergeCell ref="F5:O5"/>
    <mergeCell ref="A9:J9"/>
    <mergeCell ref="K33:O33"/>
    <mergeCell ref="K34:O34"/>
    <mergeCell ref="J11:L11"/>
    <mergeCell ref="A11:A12"/>
    <mergeCell ref="K24:O24"/>
    <mergeCell ref="K25:O25"/>
    <mergeCell ref="K26:O26"/>
    <mergeCell ref="K27:O27"/>
    <mergeCell ref="K29:O29"/>
    <mergeCell ref="K31:O31"/>
    <mergeCell ref="K136:O136"/>
    <mergeCell ref="K137:O137"/>
    <mergeCell ref="K138:O138"/>
    <mergeCell ref="K36:O36"/>
    <mergeCell ref="K118:O118"/>
    <mergeCell ref="K119:O119"/>
    <mergeCell ref="K102:O102"/>
    <mergeCell ref="K103:O103"/>
    <mergeCell ref="K104:O104"/>
    <mergeCell ref="K105:O105"/>
    <mergeCell ref="K106:O106"/>
    <mergeCell ref="K107:O107"/>
    <mergeCell ref="K113:O113"/>
    <mergeCell ref="K114:O114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1DC3-7EFB-4AC4-BEA9-F27BB762F77A}">
  <dimension ref="A1:M53"/>
  <sheetViews>
    <sheetView topLeftCell="A43" zoomScale="70" zoomScaleNormal="70" zoomScaleSheetLayoutView="52" workbookViewId="0">
      <selection activeCell="A53" sqref="A53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308" t="s">
        <v>234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13.5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41.25" customHeight="1">
      <c r="A4" s="311" t="s">
        <v>20</v>
      </c>
      <c r="B4" s="312"/>
      <c r="C4" s="312"/>
      <c r="D4" s="313"/>
      <c r="E4" s="309" t="s">
        <v>21</v>
      </c>
      <c r="F4" s="309" t="s">
        <v>508</v>
      </c>
      <c r="G4" s="309" t="s">
        <v>509</v>
      </c>
      <c r="H4" s="310" t="s">
        <v>499</v>
      </c>
      <c r="I4" s="255" t="s">
        <v>507</v>
      </c>
      <c r="J4" s="255" t="s">
        <v>155</v>
      </c>
      <c r="K4" s="255"/>
      <c r="L4" s="255"/>
      <c r="M4" s="255"/>
    </row>
    <row r="5" spans="1:13" ht="41.25" customHeight="1">
      <c r="A5" s="314"/>
      <c r="B5" s="315"/>
      <c r="C5" s="315"/>
      <c r="D5" s="316"/>
      <c r="E5" s="309"/>
      <c r="F5" s="309"/>
      <c r="G5" s="309"/>
      <c r="H5" s="310"/>
      <c r="I5" s="255"/>
      <c r="J5" s="122" t="s">
        <v>157</v>
      </c>
      <c r="K5" s="122" t="s">
        <v>158</v>
      </c>
      <c r="L5" s="122" t="s">
        <v>159</v>
      </c>
      <c r="M5" s="122" t="s">
        <v>160</v>
      </c>
    </row>
    <row r="6" spans="1:13" ht="18">
      <c r="A6" s="330">
        <v>1</v>
      </c>
      <c r="B6" s="331"/>
      <c r="C6" s="331"/>
      <c r="D6" s="332"/>
      <c r="E6" s="121">
        <v>2</v>
      </c>
      <c r="F6" s="121">
        <v>3</v>
      </c>
      <c r="G6" s="121">
        <v>4</v>
      </c>
      <c r="H6" s="121">
        <v>5</v>
      </c>
      <c r="I6" s="121">
        <v>6</v>
      </c>
      <c r="J6" s="121">
        <v>7</v>
      </c>
      <c r="K6" s="121">
        <v>8</v>
      </c>
      <c r="L6" s="121">
        <v>9</v>
      </c>
      <c r="M6" s="121">
        <v>10</v>
      </c>
    </row>
    <row r="7" spans="1:13" ht="18.75" customHeight="1">
      <c r="A7" s="326" t="s">
        <v>235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</row>
    <row r="8" spans="1:13" s="58" customFormat="1" ht="18.75" customHeight="1">
      <c r="A8" s="333" t="s">
        <v>29</v>
      </c>
      <c r="B8" s="334"/>
      <c r="C8" s="334"/>
      <c r="D8" s="335"/>
      <c r="E8" s="8">
        <v>1200</v>
      </c>
      <c r="F8" s="157">
        <f>'I. Інф. до фін.плану'!C128</f>
        <v>-106070.80000000003</v>
      </c>
      <c r="G8" s="157">
        <f>'I. Інф. до фін.плану'!D128</f>
        <v>-69511.200000000041</v>
      </c>
      <c r="H8" s="157">
        <f>'I. Інф. до фін.плану'!E128</f>
        <v>-33563.800000000017</v>
      </c>
      <c r="I8" s="157">
        <f>'I. Інф. до фін.плану'!F128</f>
        <v>-92666.400000000081</v>
      </c>
      <c r="J8" s="157">
        <f>'I. Інф. до фін.плану'!G128</f>
        <v>-8796.0000000000218</v>
      </c>
      <c r="K8" s="157">
        <f>'I. Інф. до фін.плану'!H128</f>
        <v>-30487.600000000006</v>
      </c>
      <c r="L8" s="157">
        <f>'I. Інф. до фін.плану'!I128</f>
        <v>-21496.000000000004</v>
      </c>
      <c r="M8" s="157">
        <f>'I. Інф. до фін.плану'!J128</f>
        <v>-31886.800000000021</v>
      </c>
    </row>
    <row r="9" spans="1:13" s="58" customFormat="1" ht="18.75" customHeight="1">
      <c r="A9" s="323" t="s">
        <v>236</v>
      </c>
      <c r="B9" s="324"/>
      <c r="C9" s="324"/>
      <c r="D9" s="325"/>
      <c r="E9" s="115">
        <v>2000</v>
      </c>
      <c r="F9" s="153">
        <v>-333871.2</v>
      </c>
      <c r="G9" s="153">
        <v>-468058.8</v>
      </c>
      <c r="H9" s="153">
        <v>-439940</v>
      </c>
      <c r="I9" s="153">
        <f>H23</f>
        <v>-473503.80000000005</v>
      </c>
      <c r="J9" s="153">
        <f>I9</f>
        <v>-473503.80000000005</v>
      </c>
      <c r="K9" s="153">
        <f>J23</f>
        <v>-482299.80000000005</v>
      </c>
      <c r="L9" s="153">
        <f>K23</f>
        <v>-512787.4</v>
      </c>
      <c r="M9" s="153">
        <f>L23</f>
        <v>-534283.4</v>
      </c>
    </row>
    <row r="10" spans="1:13" s="77" customFormat="1" ht="21.75" customHeight="1">
      <c r="A10" s="339" t="s">
        <v>237</v>
      </c>
      <c r="B10" s="340"/>
      <c r="C10" s="340"/>
      <c r="D10" s="341"/>
      <c r="E10" s="116">
        <v>2005</v>
      </c>
      <c r="F10" s="155" t="s">
        <v>162</v>
      </c>
      <c r="G10" s="155" t="s">
        <v>162</v>
      </c>
      <c r="H10" s="155" t="s">
        <v>162</v>
      </c>
      <c r="I10" s="156">
        <f t="shared" ref="I10:I49" si="0">SUM(J10:M10)</f>
        <v>0</v>
      </c>
      <c r="J10" s="155" t="s">
        <v>162</v>
      </c>
      <c r="K10" s="155" t="s">
        <v>162</v>
      </c>
      <c r="L10" s="155" t="s">
        <v>162</v>
      </c>
      <c r="M10" s="155" t="s">
        <v>162</v>
      </c>
    </row>
    <row r="11" spans="1:13" s="58" customFormat="1" ht="39.75" customHeight="1">
      <c r="A11" s="336" t="s">
        <v>238</v>
      </c>
      <c r="B11" s="337"/>
      <c r="C11" s="337"/>
      <c r="D11" s="338"/>
      <c r="E11" s="115">
        <v>2009</v>
      </c>
      <c r="F11" s="157">
        <f>SUM(F9:F10)</f>
        <v>-333871.2</v>
      </c>
      <c r="G11" s="157">
        <f t="shared" ref="G11:M11" si="1">SUM(G9:G10)</f>
        <v>-468058.8</v>
      </c>
      <c r="H11" s="157">
        <f t="shared" si="1"/>
        <v>-439940</v>
      </c>
      <c r="I11" s="157">
        <f t="shared" si="1"/>
        <v>-473503.80000000005</v>
      </c>
      <c r="J11" s="157">
        <f t="shared" si="1"/>
        <v>-473503.80000000005</v>
      </c>
      <c r="K11" s="157">
        <f t="shared" si="1"/>
        <v>-482299.80000000005</v>
      </c>
      <c r="L11" s="157">
        <f t="shared" si="1"/>
        <v>-512787.4</v>
      </c>
      <c r="M11" s="157">
        <f t="shared" si="1"/>
        <v>-534283.4</v>
      </c>
    </row>
    <row r="12" spans="1:13" s="58" customFormat="1" ht="18.75" customHeight="1">
      <c r="A12" s="323" t="s">
        <v>239</v>
      </c>
      <c r="B12" s="324"/>
      <c r="C12" s="324"/>
      <c r="D12" s="325"/>
      <c r="E12" s="115">
        <v>2010</v>
      </c>
      <c r="F12" s="154">
        <f>SUM(F13:F14)</f>
        <v>0</v>
      </c>
      <c r="G12" s="154">
        <f>SUM(G13:G14)</f>
        <v>0</v>
      </c>
      <c r="H12" s="154">
        <f>SUM(H13:H14)</f>
        <v>0</v>
      </c>
      <c r="I12" s="154">
        <f t="shared" si="0"/>
        <v>0</v>
      </c>
      <c r="J12" s="154">
        <f>SUM(J13:J14)</f>
        <v>0</v>
      </c>
      <c r="K12" s="154">
        <f>SUM(K13:K14)</f>
        <v>0</v>
      </c>
      <c r="L12" s="154">
        <f>SUM(L13:L14)</f>
        <v>0</v>
      </c>
      <c r="M12" s="154">
        <f>SUM(M13:M14)</f>
        <v>0</v>
      </c>
    </row>
    <row r="13" spans="1:13" ht="18.75" customHeight="1">
      <c r="A13" s="327" t="s">
        <v>240</v>
      </c>
      <c r="B13" s="328"/>
      <c r="C13" s="328"/>
      <c r="D13" s="329"/>
      <c r="E13" s="116">
        <v>2011</v>
      </c>
      <c r="F13" s="155">
        <v>0</v>
      </c>
      <c r="G13" s="155">
        <v>0</v>
      </c>
      <c r="H13" s="155">
        <v>0</v>
      </c>
      <c r="I13" s="156">
        <f t="shared" si="0"/>
        <v>0</v>
      </c>
      <c r="J13" s="155">
        <v>0</v>
      </c>
      <c r="K13" s="155">
        <v>0</v>
      </c>
      <c r="L13" s="155">
        <v>0</v>
      </c>
      <c r="M13" s="155">
        <v>0</v>
      </c>
    </row>
    <row r="14" spans="1:13" ht="40.5" customHeight="1">
      <c r="A14" s="327" t="s">
        <v>241</v>
      </c>
      <c r="B14" s="328"/>
      <c r="C14" s="328"/>
      <c r="D14" s="329"/>
      <c r="E14" s="116">
        <v>2012</v>
      </c>
      <c r="F14" s="155">
        <v>0</v>
      </c>
      <c r="G14" s="155">
        <v>0</v>
      </c>
      <c r="H14" s="155">
        <v>0</v>
      </c>
      <c r="I14" s="156">
        <f t="shared" si="0"/>
        <v>0</v>
      </c>
      <c r="J14" s="155">
        <v>0</v>
      </c>
      <c r="K14" s="155">
        <v>0</v>
      </c>
      <c r="L14" s="155">
        <v>0</v>
      </c>
      <c r="M14" s="155">
        <v>0</v>
      </c>
    </row>
    <row r="15" spans="1:13" ht="18.75" customHeight="1">
      <c r="A15" s="327" t="s">
        <v>242</v>
      </c>
      <c r="B15" s="328"/>
      <c r="C15" s="328"/>
      <c r="D15" s="329"/>
      <c r="E15" s="116" t="s">
        <v>243</v>
      </c>
      <c r="F15" s="155">
        <v>0</v>
      </c>
      <c r="G15" s="155">
        <v>0</v>
      </c>
      <c r="H15" s="155">
        <v>0</v>
      </c>
      <c r="I15" s="156">
        <f t="shared" si="0"/>
        <v>0</v>
      </c>
      <c r="J15" s="155">
        <v>0</v>
      </c>
      <c r="K15" s="155">
        <v>0</v>
      </c>
      <c r="L15" s="155">
        <v>0</v>
      </c>
      <c r="M15" s="155">
        <v>0</v>
      </c>
    </row>
    <row r="16" spans="1:13" ht="18.75" customHeight="1">
      <c r="A16" s="327" t="s">
        <v>244</v>
      </c>
      <c r="B16" s="328"/>
      <c r="C16" s="328"/>
      <c r="D16" s="329"/>
      <c r="E16" s="116">
        <v>2020</v>
      </c>
      <c r="F16" s="155">
        <v>0</v>
      </c>
      <c r="G16" s="155">
        <v>0</v>
      </c>
      <c r="H16" s="155">
        <v>0</v>
      </c>
      <c r="I16" s="156">
        <f t="shared" si="0"/>
        <v>0</v>
      </c>
      <c r="J16" s="155">
        <v>0</v>
      </c>
      <c r="K16" s="155">
        <v>0</v>
      </c>
      <c r="L16" s="155">
        <v>0</v>
      </c>
      <c r="M16" s="155">
        <v>0</v>
      </c>
    </row>
    <row r="17" spans="1:13" ht="18.75" customHeight="1">
      <c r="A17" s="317" t="s">
        <v>245</v>
      </c>
      <c r="B17" s="318"/>
      <c r="C17" s="318"/>
      <c r="D17" s="319"/>
      <c r="E17" s="116">
        <v>2030</v>
      </c>
      <c r="F17" s="155">
        <v>0</v>
      </c>
      <c r="G17" s="155">
        <v>0</v>
      </c>
      <c r="H17" s="155">
        <v>0</v>
      </c>
      <c r="I17" s="156">
        <f t="shared" si="0"/>
        <v>0</v>
      </c>
      <c r="J17" s="155">
        <v>0</v>
      </c>
      <c r="K17" s="155">
        <v>0</v>
      </c>
      <c r="L17" s="155">
        <v>0</v>
      </c>
      <c r="M17" s="155">
        <v>0</v>
      </c>
    </row>
    <row r="18" spans="1:13" ht="18.75" customHeight="1">
      <c r="A18" s="317" t="s">
        <v>246</v>
      </c>
      <c r="B18" s="318"/>
      <c r="C18" s="318"/>
      <c r="D18" s="319"/>
      <c r="E18" s="116">
        <v>2031</v>
      </c>
      <c r="F18" s="155">
        <v>0</v>
      </c>
      <c r="G18" s="155">
        <v>0</v>
      </c>
      <c r="H18" s="155">
        <v>0</v>
      </c>
      <c r="I18" s="156">
        <f t="shared" si="0"/>
        <v>0</v>
      </c>
      <c r="J18" s="155">
        <v>0</v>
      </c>
      <c r="K18" s="155">
        <v>0</v>
      </c>
      <c r="L18" s="155">
        <v>0</v>
      </c>
      <c r="M18" s="155">
        <v>0</v>
      </c>
    </row>
    <row r="19" spans="1:13" ht="18.75" customHeight="1">
      <c r="A19" s="317" t="s">
        <v>247</v>
      </c>
      <c r="B19" s="318"/>
      <c r="C19" s="318"/>
      <c r="D19" s="319"/>
      <c r="E19" s="116">
        <v>2040</v>
      </c>
      <c r="F19" s="155">
        <v>0</v>
      </c>
      <c r="G19" s="155">
        <v>0</v>
      </c>
      <c r="H19" s="155">
        <v>0</v>
      </c>
      <c r="I19" s="156">
        <f t="shared" si="0"/>
        <v>0</v>
      </c>
      <c r="J19" s="155">
        <v>0</v>
      </c>
      <c r="K19" s="155">
        <v>0</v>
      </c>
      <c r="L19" s="155">
        <v>0</v>
      </c>
      <c r="M19" s="155">
        <v>0</v>
      </c>
    </row>
    <row r="20" spans="1:13" ht="18.75" customHeight="1">
      <c r="A20" s="317" t="s">
        <v>248</v>
      </c>
      <c r="B20" s="318"/>
      <c r="C20" s="318"/>
      <c r="D20" s="319"/>
      <c r="E20" s="116">
        <v>2050</v>
      </c>
      <c r="F20" s="155">
        <v>0</v>
      </c>
      <c r="G20" s="155">
        <v>0</v>
      </c>
      <c r="H20" s="155">
        <v>0</v>
      </c>
      <c r="I20" s="156">
        <f t="shared" si="0"/>
        <v>0</v>
      </c>
      <c r="J20" s="155">
        <v>0</v>
      </c>
      <c r="K20" s="155">
        <v>0</v>
      </c>
      <c r="L20" s="155">
        <v>0</v>
      </c>
      <c r="M20" s="155">
        <v>0</v>
      </c>
    </row>
    <row r="21" spans="1:13" ht="18.75" customHeight="1">
      <c r="A21" s="320" t="s">
        <v>466</v>
      </c>
      <c r="B21" s="321"/>
      <c r="C21" s="321"/>
      <c r="D21" s="322"/>
      <c r="E21" s="116">
        <v>2060</v>
      </c>
      <c r="F21" s="155">
        <v>0</v>
      </c>
      <c r="G21" s="155">
        <v>0</v>
      </c>
      <c r="H21" s="155">
        <v>0</v>
      </c>
      <c r="I21" s="156">
        <f t="shared" si="0"/>
        <v>0</v>
      </c>
      <c r="J21" s="155">
        <v>0</v>
      </c>
      <c r="K21" s="155">
        <v>0</v>
      </c>
      <c r="L21" s="155">
        <v>0</v>
      </c>
      <c r="M21" s="155">
        <v>0</v>
      </c>
    </row>
    <row r="22" spans="1:13" ht="18.75" customHeight="1">
      <c r="A22" s="320" t="s">
        <v>513</v>
      </c>
      <c r="B22" s="321"/>
      <c r="C22" s="321"/>
      <c r="D22" s="322"/>
      <c r="E22" s="131" t="s">
        <v>467</v>
      </c>
      <c r="F22" s="155">
        <v>2</v>
      </c>
      <c r="G22" s="155">
        <v>0</v>
      </c>
      <c r="H22" s="155">
        <v>0</v>
      </c>
      <c r="I22" s="156"/>
      <c r="J22" s="155">
        <v>0</v>
      </c>
      <c r="K22" s="155">
        <v>0</v>
      </c>
      <c r="L22" s="155">
        <v>0</v>
      </c>
      <c r="M22" s="155">
        <v>0</v>
      </c>
    </row>
    <row r="23" spans="1:13" s="58" customFormat="1" ht="24.75" customHeight="1">
      <c r="A23" s="323" t="s">
        <v>249</v>
      </c>
      <c r="B23" s="324"/>
      <c r="C23" s="324"/>
      <c r="D23" s="325"/>
      <c r="E23" s="115">
        <v>2070</v>
      </c>
      <c r="F23" s="157">
        <f>SUM(F8,F11:F12,F16:F17,F19:F22)</f>
        <v>-439940.00000000006</v>
      </c>
      <c r="G23" s="157">
        <f t="shared" ref="G23:L23" si="2">SUM(G8,G11:G12,G16:G17,G19:G22)</f>
        <v>-537570</v>
      </c>
      <c r="H23" s="157">
        <f t="shared" si="2"/>
        <v>-473503.80000000005</v>
      </c>
      <c r="I23" s="157">
        <f t="shared" si="2"/>
        <v>-566170.20000000019</v>
      </c>
      <c r="J23" s="157">
        <f t="shared" si="2"/>
        <v>-482299.80000000005</v>
      </c>
      <c r="K23" s="157">
        <f t="shared" si="2"/>
        <v>-512787.4</v>
      </c>
      <c r="L23" s="157">
        <f t="shared" si="2"/>
        <v>-534283.4</v>
      </c>
      <c r="M23" s="157">
        <f>SUM(M8,M11:M12,M16:M17,M19:M22)</f>
        <v>-566170.20000000007</v>
      </c>
    </row>
    <row r="24" spans="1:13" ht="27.75" customHeight="1">
      <c r="A24" s="326" t="s">
        <v>250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</row>
    <row r="25" spans="1:13" ht="24.75" customHeight="1">
      <c r="A25" s="323" t="s">
        <v>251</v>
      </c>
      <c r="B25" s="324"/>
      <c r="C25" s="324"/>
      <c r="D25" s="325"/>
      <c r="E25" s="115">
        <v>2110</v>
      </c>
      <c r="F25" s="157">
        <f>SUM(F26:F34)</f>
        <v>35694.199999999997</v>
      </c>
      <c r="G25" s="157">
        <f>SUM(G26:G34)</f>
        <v>38742.5</v>
      </c>
      <c r="H25" s="157">
        <f>SUM(H26:H34)</f>
        <v>40248.800000000003</v>
      </c>
      <c r="I25" s="154">
        <f t="shared" si="0"/>
        <v>42660.000000000007</v>
      </c>
      <c r="J25" s="157">
        <f>SUM(J26:J34)</f>
        <v>10707</v>
      </c>
      <c r="K25" s="157">
        <f>SUM(K26:K34)</f>
        <v>10598.9</v>
      </c>
      <c r="L25" s="157">
        <f>SUM(L26:L34)</f>
        <v>10720.300000000001</v>
      </c>
      <c r="M25" s="157">
        <f>SUM(M26:M34)</f>
        <v>10633.800000000001</v>
      </c>
    </row>
    <row r="26" spans="1:13" ht="18.75" customHeight="1">
      <c r="A26" s="327" t="s">
        <v>31</v>
      </c>
      <c r="B26" s="328"/>
      <c r="C26" s="328"/>
      <c r="D26" s="329"/>
      <c r="E26" s="116">
        <v>2111</v>
      </c>
      <c r="F26" s="155">
        <v>0</v>
      </c>
      <c r="G26" s="155">
        <v>0</v>
      </c>
      <c r="H26" s="155">
        <v>0</v>
      </c>
      <c r="I26" s="156">
        <f t="shared" si="0"/>
        <v>0</v>
      </c>
      <c r="J26" s="155">
        <v>0</v>
      </c>
      <c r="K26" s="155">
        <v>0</v>
      </c>
      <c r="L26" s="155">
        <v>0</v>
      </c>
      <c r="M26" s="155">
        <v>0</v>
      </c>
    </row>
    <row r="27" spans="1:13" ht="18.75" customHeight="1">
      <c r="A27" s="327" t="s">
        <v>32</v>
      </c>
      <c r="B27" s="328"/>
      <c r="C27" s="328"/>
      <c r="D27" s="329"/>
      <c r="E27" s="116">
        <v>2112</v>
      </c>
      <c r="F27" s="155"/>
      <c r="G27" s="155"/>
      <c r="H27" s="155">
        <v>0</v>
      </c>
      <c r="I27" s="156">
        <f t="shared" si="0"/>
        <v>0</v>
      </c>
      <c r="J27" s="155">
        <v>0</v>
      </c>
      <c r="K27" s="155">
        <v>0</v>
      </c>
      <c r="L27" s="155">
        <v>0</v>
      </c>
      <c r="M27" s="155">
        <v>0</v>
      </c>
    </row>
    <row r="28" spans="1:13" ht="18.75" customHeight="1">
      <c r="A28" s="317" t="s">
        <v>33</v>
      </c>
      <c r="B28" s="318"/>
      <c r="C28" s="318"/>
      <c r="D28" s="319"/>
      <c r="E28" s="17">
        <v>2113</v>
      </c>
      <c r="F28" s="155">
        <v>0</v>
      </c>
      <c r="G28" s="155">
        <v>0</v>
      </c>
      <c r="H28" s="155">
        <v>0</v>
      </c>
      <c r="I28" s="156">
        <f>SUM(J28:M28)</f>
        <v>0</v>
      </c>
      <c r="J28" s="155">
        <v>0</v>
      </c>
      <c r="K28" s="155">
        <v>0</v>
      </c>
      <c r="L28" s="155">
        <v>0</v>
      </c>
      <c r="M28" s="155">
        <v>0</v>
      </c>
    </row>
    <row r="29" spans="1:13" ht="18.75" customHeight="1">
      <c r="A29" s="317" t="s">
        <v>252</v>
      </c>
      <c r="B29" s="318"/>
      <c r="C29" s="318"/>
      <c r="D29" s="319"/>
      <c r="E29" s="17">
        <v>2114</v>
      </c>
      <c r="F29" s="155">
        <v>0</v>
      </c>
      <c r="G29" s="155"/>
      <c r="H29" s="155"/>
      <c r="I29" s="156">
        <f t="shared" si="0"/>
        <v>0</v>
      </c>
      <c r="J29" s="155"/>
      <c r="K29" s="155"/>
      <c r="L29" s="155"/>
      <c r="M29" s="155"/>
    </row>
    <row r="30" spans="1:13" ht="18.75" customHeight="1">
      <c r="A30" s="317" t="s">
        <v>253</v>
      </c>
      <c r="B30" s="318"/>
      <c r="C30" s="318"/>
      <c r="D30" s="319"/>
      <c r="E30" s="17">
        <v>2115</v>
      </c>
      <c r="F30" s="155">
        <v>0</v>
      </c>
      <c r="G30" s="155">
        <v>0</v>
      </c>
      <c r="H30" s="155"/>
      <c r="I30" s="156">
        <f t="shared" si="0"/>
        <v>0</v>
      </c>
      <c r="J30" s="155"/>
      <c r="K30" s="155"/>
      <c r="L30" s="155"/>
      <c r="M30" s="155"/>
    </row>
    <row r="31" spans="1:13" ht="18.75" customHeight="1">
      <c r="A31" s="317" t="s">
        <v>254</v>
      </c>
      <c r="B31" s="318"/>
      <c r="C31" s="318"/>
      <c r="D31" s="319"/>
      <c r="E31" s="17">
        <v>2116</v>
      </c>
      <c r="F31" s="155">
        <v>9283.2999999999993</v>
      </c>
      <c r="G31" s="155">
        <v>10604.1</v>
      </c>
      <c r="H31" s="155">
        <v>11307.1</v>
      </c>
      <c r="I31" s="156">
        <f t="shared" si="0"/>
        <v>11453.8</v>
      </c>
      <c r="J31" s="155">
        <f>-'I. Інф. до фін.плану'!G35</f>
        <v>2932.7</v>
      </c>
      <c r="K31" s="155">
        <f>-'I. Інф. до фін.плану'!H35</f>
        <v>2838.6</v>
      </c>
      <c r="L31" s="155">
        <f>-'I. Інф. до фін.плану'!I35</f>
        <v>2920.4</v>
      </c>
      <c r="M31" s="155">
        <f>-'I. Інф. до фін.плану'!J35</f>
        <v>2762.1</v>
      </c>
    </row>
    <row r="32" spans="1:13" ht="18.75" customHeight="1">
      <c r="A32" s="317" t="s">
        <v>468</v>
      </c>
      <c r="B32" s="318"/>
      <c r="C32" s="318"/>
      <c r="D32" s="319"/>
      <c r="E32" s="17" t="s">
        <v>469</v>
      </c>
      <c r="F32" s="155">
        <v>3915.5</v>
      </c>
      <c r="G32" s="155">
        <v>4010.9</v>
      </c>
      <c r="H32" s="155">
        <v>4008</v>
      </c>
      <c r="I32" s="156">
        <f t="shared" si="0"/>
        <v>4010.8999999999996</v>
      </c>
      <c r="J32" s="155">
        <f>-'I. Інф. до фін.плану'!G36</f>
        <v>1056.5999999999999</v>
      </c>
      <c r="K32" s="155">
        <f>-'I. Інф. до фін.плану'!H36</f>
        <v>977.7</v>
      </c>
      <c r="L32" s="155">
        <f>-'I. Інф. до фін.плану'!I36</f>
        <v>952.4</v>
      </c>
      <c r="M32" s="155">
        <f>-'I. Інф. до фін.плану'!J36</f>
        <v>1024.2</v>
      </c>
    </row>
    <row r="33" spans="1:13" ht="18.75" customHeight="1">
      <c r="A33" s="317" t="s">
        <v>255</v>
      </c>
      <c r="B33" s="318"/>
      <c r="C33" s="318"/>
      <c r="D33" s="319"/>
      <c r="E33" s="17">
        <v>2117</v>
      </c>
      <c r="F33" s="155">
        <v>22494.7</v>
      </c>
      <c r="G33" s="155">
        <v>24127.1</v>
      </c>
      <c r="H33" s="155">
        <v>24933.3</v>
      </c>
      <c r="I33" s="156">
        <f t="shared" si="0"/>
        <v>27194.9</v>
      </c>
      <c r="J33" s="155">
        <f>ROUND('I. Інф. до фін.плану'!G139*0.18,1)</f>
        <v>6717.6</v>
      </c>
      <c r="K33" s="155">
        <f>ROUND('I. Інф. до фін.плану'!H139*0.18,1)</f>
        <v>6782.5</v>
      </c>
      <c r="L33" s="155">
        <f>ROUND('I. Інф. до фін.плану'!I139*0.18,1)</f>
        <v>6847.4</v>
      </c>
      <c r="M33" s="155">
        <f>ROUND('I. Інф. до фін.плану'!J139*0.18,1)</f>
        <v>6847.4</v>
      </c>
    </row>
    <row r="34" spans="1:13" ht="18.75" customHeight="1">
      <c r="A34" s="317" t="s">
        <v>470</v>
      </c>
      <c r="B34" s="318"/>
      <c r="C34" s="318"/>
      <c r="D34" s="319"/>
      <c r="E34" s="17">
        <v>2118</v>
      </c>
      <c r="F34" s="155">
        <v>0.7</v>
      </c>
      <c r="G34" s="155">
        <v>0.4</v>
      </c>
      <c r="H34" s="155">
        <v>0.4</v>
      </c>
      <c r="I34" s="156">
        <f t="shared" si="0"/>
        <v>0.4</v>
      </c>
      <c r="J34" s="155">
        <f>-ROUND('I. Інф. до фін.плану'!G42,1)</f>
        <v>0.1</v>
      </c>
      <c r="K34" s="155">
        <f>-ROUND('I. Інф. до фін.плану'!H42,1)</f>
        <v>0.1</v>
      </c>
      <c r="L34" s="155">
        <f>-ROUND('I. Інф. до фін.плану'!I42,1)</f>
        <v>0.1</v>
      </c>
      <c r="M34" s="155">
        <f>-ROUND('I. Інф. до фін.плану'!J42,1)</f>
        <v>0.1</v>
      </c>
    </row>
    <row r="35" spans="1:13" ht="24" customHeight="1">
      <c r="A35" s="323" t="s">
        <v>256</v>
      </c>
      <c r="B35" s="324"/>
      <c r="C35" s="324"/>
      <c r="D35" s="325"/>
      <c r="E35" s="38">
        <v>2120</v>
      </c>
      <c r="F35" s="157">
        <f>SUM(F36:F39)</f>
        <v>6575.3</v>
      </c>
      <c r="G35" s="157">
        <f>SUM(G36:G39)</f>
        <v>7263.0999999999995</v>
      </c>
      <c r="H35" s="157">
        <f>SUM(H36:H39)</f>
        <v>10532.2</v>
      </c>
      <c r="I35" s="154">
        <f t="shared" si="0"/>
        <v>10905</v>
      </c>
      <c r="J35" s="157">
        <f>SUM(J36:J39)</f>
        <v>2729.1</v>
      </c>
      <c r="K35" s="157">
        <f>SUM(K36:K39)</f>
        <v>2735.1</v>
      </c>
      <c r="L35" s="157">
        <f>SUM(L36:L39)</f>
        <v>2720.3999999999996</v>
      </c>
      <c r="M35" s="157">
        <f>SUM(M36:M39)</f>
        <v>2720.3999999999996</v>
      </c>
    </row>
    <row r="36" spans="1:13" ht="18.600000000000001" customHeight="1">
      <c r="A36" s="317" t="s">
        <v>255</v>
      </c>
      <c r="B36" s="318"/>
      <c r="C36" s="318"/>
      <c r="D36" s="319"/>
      <c r="E36" s="17">
        <v>2121</v>
      </c>
      <c r="F36" s="155"/>
      <c r="G36" s="155"/>
      <c r="H36" s="155"/>
      <c r="I36" s="156">
        <f t="shared" si="0"/>
        <v>0</v>
      </c>
      <c r="J36" s="155"/>
      <c r="K36" s="155"/>
      <c r="L36" s="155"/>
      <c r="M36" s="155"/>
    </row>
    <row r="37" spans="1:13" ht="18.600000000000001" customHeight="1">
      <c r="A37" s="317" t="s">
        <v>257</v>
      </c>
      <c r="B37" s="318"/>
      <c r="C37" s="318"/>
      <c r="D37" s="319"/>
      <c r="E37" s="17">
        <v>2122</v>
      </c>
      <c r="F37" s="155">
        <v>859.6</v>
      </c>
      <c r="G37" s="155">
        <v>837.2</v>
      </c>
      <c r="H37" s="155">
        <v>4329.3999999999996</v>
      </c>
      <c r="I37" s="156">
        <f t="shared" si="0"/>
        <v>4643.2</v>
      </c>
      <c r="J37" s="155">
        <f>-'I. Інф. до фін.плану'!G40</f>
        <v>1160.8</v>
      </c>
      <c r="K37" s="155">
        <f>-'I. Інф. до фін.плану'!H40</f>
        <v>1160.8</v>
      </c>
      <c r="L37" s="155">
        <f>-'I. Інф. до фін.плану'!I40</f>
        <v>1160.8</v>
      </c>
      <c r="M37" s="155">
        <f>-'I. Інф. до фін.плану'!J40</f>
        <v>1160.8</v>
      </c>
    </row>
    <row r="38" spans="1:13" ht="18.600000000000001" customHeight="1">
      <c r="A38" s="317" t="s">
        <v>258</v>
      </c>
      <c r="B38" s="318"/>
      <c r="C38" s="318"/>
      <c r="D38" s="319"/>
      <c r="E38" s="17">
        <v>2123</v>
      </c>
      <c r="F38" s="155"/>
      <c r="G38" s="155"/>
      <c r="H38" s="155"/>
      <c r="I38" s="156">
        <f t="shared" si="0"/>
        <v>0</v>
      </c>
      <c r="J38" s="155"/>
      <c r="K38" s="155"/>
      <c r="L38" s="155"/>
      <c r="M38" s="155"/>
    </row>
    <row r="39" spans="1:13" ht="18.600000000000001" customHeight="1">
      <c r="A39" s="317" t="s">
        <v>471</v>
      </c>
      <c r="B39" s="318"/>
      <c r="C39" s="318"/>
      <c r="D39" s="319"/>
      <c r="E39" s="17">
        <v>2124</v>
      </c>
      <c r="F39" s="155">
        <v>5715.7</v>
      </c>
      <c r="G39" s="155">
        <v>6425.9</v>
      </c>
      <c r="H39" s="155">
        <v>6202.8</v>
      </c>
      <c r="I39" s="156">
        <f t="shared" si="0"/>
        <v>6261.7999999999993</v>
      </c>
      <c r="J39" s="155">
        <f>-'I. Інф. до фін.плану'!G41</f>
        <v>1568.3</v>
      </c>
      <c r="K39" s="155">
        <f>-'I. Інф. до фін.плану'!H41</f>
        <v>1574.3</v>
      </c>
      <c r="L39" s="155">
        <f>-'I. Інф. до фін.плану'!I41</f>
        <v>1559.6</v>
      </c>
      <c r="M39" s="155">
        <f>-'I. Інф. до фін.плану'!J41</f>
        <v>1559.6</v>
      </c>
    </row>
    <row r="40" spans="1:13" ht="24" customHeight="1">
      <c r="A40" s="323" t="s">
        <v>259</v>
      </c>
      <c r="B40" s="324"/>
      <c r="C40" s="324"/>
      <c r="D40" s="325"/>
      <c r="E40" s="38">
        <v>2130</v>
      </c>
      <c r="F40" s="157">
        <f>SUM(F41:F45)</f>
        <v>28631.8</v>
      </c>
      <c r="G40" s="157">
        <f>SUM(G41:G45)</f>
        <v>35411.4</v>
      </c>
      <c r="H40" s="157">
        <f>SUM(H41:H45)</f>
        <v>36592.400000000001</v>
      </c>
      <c r="I40" s="154">
        <f t="shared" si="0"/>
        <v>40107.9</v>
      </c>
      <c r="J40" s="157">
        <f>SUM(J41:J45)</f>
        <v>9897.5</v>
      </c>
      <c r="K40" s="157">
        <f>SUM(K41:K45)</f>
        <v>10046</v>
      </c>
      <c r="L40" s="157">
        <f>SUM(L41:L45)</f>
        <v>10069</v>
      </c>
      <c r="M40" s="157">
        <f>SUM(M41:M45)</f>
        <v>10095.4</v>
      </c>
    </row>
    <row r="41" spans="1:13" ht="18.75" customHeight="1">
      <c r="A41" s="317" t="s">
        <v>34</v>
      </c>
      <c r="B41" s="318"/>
      <c r="C41" s="318"/>
      <c r="D41" s="319"/>
      <c r="E41" s="17">
        <v>2131</v>
      </c>
      <c r="F41" s="155"/>
      <c r="G41" s="155"/>
      <c r="H41" s="155"/>
      <c r="I41" s="156">
        <f>SUM(J41:M41)</f>
        <v>0</v>
      </c>
      <c r="J41" s="155"/>
      <c r="K41" s="155"/>
      <c r="L41" s="155"/>
      <c r="M41" s="155"/>
    </row>
    <row r="42" spans="1:13" ht="41.25" customHeight="1">
      <c r="A42" s="317" t="s">
        <v>35</v>
      </c>
      <c r="B42" s="318"/>
      <c r="C42" s="318"/>
      <c r="D42" s="319"/>
      <c r="E42" s="17">
        <v>2132</v>
      </c>
      <c r="F42" s="155"/>
      <c r="G42" s="155"/>
      <c r="H42" s="155"/>
      <c r="I42" s="156">
        <f t="shared" si="0"/>
        <v>0</v>
      </c>
      <c r="J42" s="155"/>
      <c r="K42" s="155"/>
      <c r="L42" s="155"/>
      <c r="M42" s="155"/>
    </row>
    <row r="43" spans="1:13" ht="18.75" customHeight="1">
      <c r="A43" s="317" t="s">
        <v>260</v>
      </c>
      <c r="B43" s="318"/>
      <c r="C43" s="318"/>
      <c r="D43" s="319"/>
      <c r="E43" s="17">
        <v>2133</v>
      </c>
      <c r="F43" s="155"/>
      <c r="G43" s="155"/>
      <c r="H43" s="155"/>
      <c r="I43" s="156">
        <f t="shared" si="0"/>
        <v>0</v>
      </c>
      <c r="J43" s="155"/>
      <c r="K43" s="155"/>
      <c r="L43" s="155"/>
      <c r="M43" s="155"/>
    </row>
    <row r="44" spans="1:13" ht="18.75" customHeight="1">
      <c r="A44" s="317" t="s">
        <v>261</v>
      </c>
      <c r="B44" s="318"/>
      <c r="C44" s="318"/>
      <c r="D44" s="319"/>
      <c r="E44" s="17">
        <v>2134</v>
      </c>
      <c r="F44" s="155">
        <v>26351.1</v>
      </c>
      <c r="G44" s="155">
        <v>28709.5</v>
      </c>
      <c r="H44" s="155">
        <v>29665.5</v>
      </c>
      <c r="I44" s="156">
        <f t="shared" si="0"/>
        <v>32553.7</v>
      </c>
      <c r="J44" s="155">
        <f>'I. Інф. до фін.плану'!G140</f>
        <v>8031.5</v>
      </c>
      <c r="K44" s="155">
        <f>'I. Інф. до фін.плану'!H140</f>
        <v>8162</v>
      </c>
      <c r="L44" s="155">
        <f>'I. Інф. до фін.плану'!I140</f>
        <v>8166.9</v>
      </c>
      <c r="M44" s="155">
        <f>'I. Інф. до фін.плану'!J140</f>
        <v>8193.2999999999993</v>
      </c>
    </row>
    <row r="45" spans="1:13" ht="18.75" customHeight="1">
      <c r="A45" s="317" t="s">
        <v>472</v>
      </c>
      <c r="B45" s="318"/>
      <c r="C45" s="318"/>
      <c r="D45" s="319"/>
      <c r="E45" s="17">
        <v>2135</v>
      </c>
      <c r="F45" s="155">
        <v>2280.6999999999998</v>
      </c>
      <c r="G45" s="155">
        <v>6701.9</v>
      </c>
      <c r="H45" s="155">
        <v>6926.9</v>
      </c>
      <c r="I45" s="156">
        <f t="shared" si="0"/>
        <v>7554.2000000000007</v>
      </c>
      <c r="J45" s="160">
        <f>ROUND('I. Інф. до фін.плану'!G139*0.05,1)</f>
        <v>1866</v>
      </c>
      <c r="K45" s="160">
        <f>ROUND('I. Інф. до фін.плану'!H139*0.05,1)</f>
        <v>1884</v>
      </c>
      <c r="L45" s="160">
        <f>ROUND('I. Інф. до фін.плану'!I139*0.05,1)</f>
        <v>1902.1</v>
      </c>
      <c r="M45" s="160">
        <f>ROUND('I. Інф. до фін.плану'!J139*0.05,1)</f>
        <v>1902.1</v>
      </c>
    </row>
    <row r="46" spans="1:13" ht="18.75" customHeight="1">
      <c r="A46" s="323" t="s">
        <v>262</v>
      </c>
      <c r="B46" s="324"/>
      <c r="C46" s="324"/>
      <c r="D46" s="325"/>
      <c r="E46" s="38">
        <v>2140</v>
      </c>
      <c r="F46" s="157">
        <f>SUM(F47,F48)</f>
        <v>0</v>
      </c>
      <c r="G46" s="157">
        <f>SUM(G47,G48)</f>
        <v>0</v>
      </c>
      <c r="H46" s="157">
        <f>SUM(H47,H48)</f>
        <v>0</v>
      </c>
      <c r="I46" s="154">
        <f t="shared" si="0"/>
        <v>0</v>
      </c>
      <c r="J46" s="157">
        <v>0</v>
      </c>
      <c r="K46" s="157">
        <v>0</v>
      </c>
      <c r="L46" s="157">
        <v>0</v>
      </c>
      <c r="M46" s="157">
        <v>0</v>
      </c>
    </row>
    <row r="47" spans="1:13" ht="37.5" customHeight="1">
      <c r="A47" s="317" t="s">
        <v>263</v>
      </c>
      <c r="B47" s="318"/>
      <c r="C47" s="318"/>
      <c r="D47" s="319"/>
      <c r="E47" s="17">
        <v>2141</v>
      </c>
      <c r="F47" s="155"/>
      <c r="G47" s="155"/>
      <c r="H47" s="155"/>
      <c r="I47" s="156">
        <f t="shared" si="0"/>
        <v>0</v>
      </c>
      <c r="J47" s="155"/>
      <c r="K47" s="155"/>
      <c r="L47" s="155"/>
      <c r="M47" s="155"/>
    </row>
    <row r="48" spans="1:13" ht="18.75" customHeight="1">
      <c r="A48" s="317" t="s">
        <v>264</v>
      </c>
      <c r="B48" s="318"/>
      <c r="C48" s="318"/>
      <c r="D48" s="319"/>
      <c r="E48" s="17">
        <v>2142</v>
      </c>
      <c r="F48" s="155"/>
      <c r="G48" s="155"/>
      <c r="H48" s="155"/>
      <c r="I48" s="156">
        <f t="shared" si="0"/>
        <v>0</v>
      </c>
      <c r="J48" s="155"/>
      <c r="K48" s="155"/>
      <c r="L48" s="155"/>
      <c r="M48" s="155"/>
    </row>
    <row r="49" spans="1:13" ht="26.25" customHeight="1">
      <c r="A49" s="323" t="s">
        <v>36</v>
      </c>
      <c r="B49" s="324"/>
      <c r="C49" s="324"/>
      <c r="D49" s="325"/>
      <c r="E49" s="38">
        <v>2200</v>
      </c>
      <c r="F49" s="157">
        <f>SUM(F25,F35,F40,F46)</f>
        <v>70901.3</v>
      </c>
      <c r="G49" s="157">
        <f>SUM(G25,G35,G40,G46)</f>
        <v>81417</v>
      </c>
      <c r="H49" s="157">
        <f>SUM(H25,H35,H40,H46)</f>
        <v>87373.4</v>
      </c>
      <c r="I49" s="154">
        <f t="shared" si="0"/>
        <v>93672.9</v>
      </c>
      <c r="J49" s="157">
        <f>SUM(J25,J35,J40,J46)</f>
        <v>23333.599999999999</v>
      </c>
      <c r="K49" s="157">
        <f>SUM(K25,K35,K40,K46)</f>
        <v>23380</v>
      </c>
      <c r="L49" s="157">
        <f>SUM(L25,L35,L40,L46)</f>
        <v>23509.7</v>
      </c>
      <c r="M49" s="157">
        <f>SUM(M25,M35,M40,M46)</f>
        <v>23449.599999999999</v>
      </c>
    </row>
    <row r="50" spans="1:13" ht="15" customHeight="1">
      <c r="A50" s="52"/>
      <c r="B50" s="52"/>
      <c r="C50" s="52"/>
      <c r="D50" s="52"/>
      <c r="E50" s="51"/>
      <c r="F50" s="53"/>
      <c r="G50" s="54"/>
      <c r="H50" s="54"/>
      <c r="I50" s="53"/>
      <c r="J50" s="54"/>
      <c r="K50" s="54"/>
      <c r="L50" s="54"/>
      <c r="M50" s="54"/>
    </row>
    <row r="51" spans="1:13" ht="11.25" customHeight="1">
      <c r="A51" s="52"/>
      <c r="B51" s="52"/>
      <c r="C51" s="52"/>
      <c r="D51" s="52"/>
      <c r="E51" s="51"/>
      <c r="F51" s="53"/>
      <c r="G51" s="54"/>
      <c r="H51" s="54"/>
      <c r="I51" s="53"/>
      <c r="J51" s="54"/>
      <c r="K51" s="54"/>
      <c r="L51" s="54"/>
      <c r="M51" s="54"/>
    </row>
    <row r="52" spans="1:13" ht="46.5" customHeight="1">
      <c r="A52" s="233" t="s">
        <v>536</v>
      </c>
      <c r="B52" s="146"/>
      <c r="C52" s="146"/>
      <c r="D52" s="146"/>
      <c r="E52" s="139"/>
      <c r="F52" s="342" t="s">
        <v>136</v>
      </c>
      <c r="G52" s="342"/>
      <c r="H52" s="342"/>
      <c r="I52" s="342"/>
      <c r="J52" s="140"/>
      <c r="K52" s="266" t="s">
        <v>398</v>
      </c>
      <c r="L52" s="266"/>
      <c r="M52" s="266"/>
    </row>
    <row r="53" spans="1:13" ht="22.5" customHeight="1">
      <c r="A53" s="124" t="s">
        <v>265</v>
      </c>
      <c r="B53" s="124"/>
      <c r="C53" s="124"/>
      <c r="D53" s="124"/>
      <c r="E53" s="82"/>
      <c r="F53" s="343" t="s">
        <v>266</v>
      </c>
      <c r="G53" s="343"/>
      <c r="H53" s="343"/>
      <c r="I53" s="343"/>
      <c r="J53" s="81"/>
      <c r="K53" s="253" t="s">
        <v>139</v>
      </c>
      <c r="L53" s="253"/>
      <c r="M53" s="253"/>
    </row>
  </sheetData>
  <mergeCells count="56">
    <mergeCell ref="A42:D42"/>
    <mergeCell ref="A43:D43"/>
    <mergeCell ref="A44:D44"/>
    <mergeCell ref="A45:D45"/>
    <mergeCell ref="A33:D33"/>
    <mergeCell ref="A34:D34"/>
    <mergeCell ref="A41:D41"/>
    <mergeCell ref="F52:I52"/>
    <mergeCell ref="K53:M53"/>
    <mergeCell ref="F53:I53"/>
    <mergeCell ref="A46:D46"/>
    <mergeCell ref="A47:D47"/>
    <mergeCell ref="A48:D48"/>
    <mergeCell ref="A49:D49"/>
    <mergeCell ref="K52:M52"/>
    <mergeCell ref="A30:D30"/>
    <mergeCell ref="A31:D31"/>
    <mergeCell ref="A26:D26"/>
    <mergeCell ref="A27:D27"/>
    <mergeCell ref="A40:D40"/>
    <mergeCell ref="A35:D35"/>
    <mergeCell ref="A36:D36"/>
    <mergeCell ref="A37:D37"/>
    <mergeCell ref="A38:D38"/>
    <mergeCell ref="A28:D28"/>
    <mergeCell ref="A29:D29"/>
    <mergeCell ref="A39:D39"/>
    <mergeCell ref="A32:D32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3:D23"/>
    <mergeCell ref="A25:D25"/>
    <mergeCell ref="A24:M24"/>
    <mergeCell ref="A22:D22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1123-5710-4B18-A8BA-1AD6A9271D1E}">
  <dimension ref="A1:J99"/>
  <sheetViews>
    <sheetView topLeftCell="A76" zoomScale="83" zoomScaleNormal="83" zoomScaleSheetLayoutView="56" workbookViewId="0">
      <selection activeCell="A99" sqref="A99"/>
    </sheetView>
  </sheetViews>
  <sheetFormatPr defaultRowHeight="13.2"/>
  <cols>
    <col min="1" max="1" width="99.44140625" style="77" customWidth="1"/>
    <col min="2" max="2" width="13.33203125" style="77" customWidth="1"/>
    <col min="3" max="5" width="15.44140625" style="77" customWidth="1"/>
    <col min="6" max="6" width="16.33203125" style="77" customWidth="1"/>
    <col min="7" max="10" width="15.44140625" style="77" customWidth="1"/>
    <col min="11" max="16384" width="8.88671875" style="77"/>
  </cols>
  <sheetData>
    <row r="1" spans="1:10" ht="42" customHeight="1">
      <c r="A1" s="239" t="s">
        <v>267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7.399999999999999">
      <c r="A2" s="219"/>
      <c r="B2" s="219"/>
      <c r="C2" s="219"/>
      <c r="D2" s="219"/>
      <c r="E2" s="219"/>
      <c r="F2" s="219"/>
      <c r="G2" s="219"/>
      <c r="H2" s="219"/>
      <c r="I2" s="219"/>
      <c r="J2" s="219"/>
    </row>
    <row r="3" spans="1:10" ht="41.25" customHeight="1">
      <c r="A3" s="345" t="s">
        <v>20</v>
      </c>
      <c r="B3" s="310" t="s">
        <v>268</v>
      </c>
      <c r="C3" s="310" t="s">
        <v>508</v>
      </c>
      <c r="D3" s="310" t="s">
        <v>509</v>
      </c>
      <c r="E3" s="310" t="s">
        <v>499</v>
      </c>
      <c r="F3" s="255" t="s">
        <v>510</v>
      </c>
      <c r="G3" s="255" t="s">
        <v>155</v>
      </c>
      <c r="H3" s="255"/>
      <c r="I3" s="255"/>
      <c r="J3" s="255"/>
    </row>
    <row r="4" spans="1:10" ht="45.75" customHeight="1">
      <c r="A4" s="346"/>
      <c r="B4" s="310"/>
      <c r="C4" s="310"/>
      <c r="D4" s="310"/>
      <c r="E4" s="310"/>
      <c r="F4" s="255"/>
      <c r="G4" s="229" t="s">
        <v>157</v>
      </c>
      <c r="H4" s="229" t="s">
        <v>158</v>
      </c>
      <c r="I4" s="229" t="s">
        <v>159</v>
      </c>
      <c r="J4" s="229" t="s">
        <v>160</v>
      </c>
    </row>
    <row r="5" spans="1:10" ht="18.75" customHeight="1">
      <c r="A5" s="221">
        <v>1</v>
      </c>
      <c r="B5" s="229">
        <v>2</v>
      </c>
      <c r="C5" s="229">
        <v>3</v>
      </c>
      <c r="D5" s="229">
        <v>4</v>
      </c>
      <c r="E5" s="229">
        <v>5</v>
      </c>
      <c r="F5" s="229">
        <v>6</v>
      </c>
      <c r="G5" s="229">
        <v>7</v>
      </c>
      <c r="H5" s="229">
        <v>8</v>
      </c>
      <c r="I5" s="229">
        <v>9</v>
      </c>
      <c r="J5" s="229">
        <v>10</v>
      </c>
    </row>
    <row r="6" spans="1:10" ht="28.5" customHeight="1">
      <c r="A6" s="227" t="s">
        <v>269</v>
      </c>
      <c r="B6" s="228"/>
      <c r="C6" s="265"/>
      <c r="D6" s="265"/>
      <c r="E6" s="265"/>
      <c r="F6" s="265"/>
      <c r="G6" s="265"/>
      <c r="H6" s="265"/>
      <c r="I6" s="265"/>
      <c r="J6" s="265"/>
    </row>
    <row r="7" spans="1:10" ht="18.75" customHeight="1">
      <c r="A7" s="60" t="s">
        <v>270</v>
      </c>
      <c r="B7" s="64">
        <v>3000</v>
      </c>
      <c r="C7" s="157">
        <f>SUM(C8:C9,C11,C14:C15,C19)</f>
        <v>591242.4</v>
      </c>
      <c r="D7" s="157">
        <f>SUM(D8:D9,D11,D14:D15,D19)</f>
        <v>487098.39999999997</v>
      </c>
      <c r="E7" s="157">
        <f>SUM(E8:E9,E11,E14:E15,E19)</f>
        <v>520882.39999999997</v>
      </c>
      <c r="F7" s="154">
        <f t="shared" ref="F7:F80" si="0">SUM(G7:J7)</f>
        <v>545077.19999999995</v>
      </c>
      <c r="G7" s="157">
        <f>SUM(G8:G9,G11,G14:G15,G19)</f>
        <v>134578.4</v>
      </c>
      <c r="H7" s="157">
        <f>SUM(H8:H9,H11,H14:H15,H19)</f>
        <v>136860.29999999999</v>
      </c>
      <c r="I7" s="157">
        <f>SUM(I8:I9,I11,I14:I15,I19)</f>
        <v>138762.6</v>
      </c>
      <c r="J7" s="157">
        <f>SUM(J8:J9,J11,J14:J15,J19)</f>
        <v>134875.9</v>
      </c>
    </row>
    <row r="8" spans="1:10" ht="18.75" customHeight="1">
      <c r="A8" s="222" t="s">
        <v>271</v>
      </c>
      <c r="B8" s="6">
        <v>3010</v>
      </c>
      <c r="C8" s="155">
        <v>400348.2</v>
      </c>
      <c r="D8" s="155">
        <v>472054.8</v>
      </c>
      <c r="E8" s="155">
        <f>ROUND(349719.7+(101711.7*1.2*0.98),1)</f>
        <v>469332.7</v>
      </c>
      <c r="F8" s="156">
        <f t="shared" si="0"/>
        <v>507318.60000000003</v>
      </c>
      <c r="G8" s="155">
        <f>ROUND('I. Інф. до фін.плану'!G24*1.2,1)</f>
        <v>125971.4</v>
      </c>
      <c r="H8" s="155">
        <f>ROUND('I. Інф. до фін.плану'!H24*1.2,1)</f>
        <v>127245.4</v>
      </c>
      <c r="I8" s="155">
        <f>ROUND('I. Інф. до фін.плану'!I24*1.2,1)</f>
        <v>127932.6</v>
      </c>
      <c r="J8" s="155">
        <f>ROUND('I. Інф. до фін.плану'!J24*1.2,1)</f>
        <v>126169.2</v>
      </c>
    </row>
    <row r="9" spans="1:10" ht="18.75" customHeight="1">
      <c r="A9" s="222" t="s">
        <v>272</v>
      </c>
      <c r="B9" s="6">
        <v>3020</v>
      </c>
      <c r="C9" s="155">
        <v>0</v>
      </c>
      <c r="D9" s="155">
        <v>0</v>
      </c>
      <c r="E9" s="155"/>
      <c r="F9" s="156">
        <f t="shared" si="0"/>
        <v>0</v>
      </c>
      <c r="G9" s="155">
        <v>0</v>
      </c>
      <c r="H9" s="155">
        <v>0</v>
      </c>
      <c r="I9" s="155">
        <v>0</v>
      </c>
      <c r="J9" s="155">
        <v>0</v>
      </c>
    </row>
    <row r="10" spans="1:10" ht="18.75" customHeight="1">
      <c r="A10" s="222" t="s">
        <v>273</v>
      </c>
      <c r="B10" s="6">
        <v>3030</v>
      </c>
      <c r="C10" s="155">
        <v>0</v>
      </c>
      <c r="D10" s="155">
        <v>0</v>
      </c>
      <c r="E10" s="155"/>
      <c r="F10" s="156">
        <f t="shared" si="0"/>
        <v>0</v>
      </c>
      <c r="G10" s="155">
        <v>0</v>
      </c>
      <c r="H10" s="155">
        <v>0</v>
      </c>
      <c r="I10" s="155">
        <v>0</v>
      </c>
      <c r="J10" s="155">
        <v>0</v>
      </c>
    </row>
    <row r="11" spans="1:10" ht="18.75" customHeight="1">
      <c r="A11" s="222" t="s">
        <v>274</v>
      </c>
      <c r="B11" s="6">
        <v>3040</v>
      </c>
      <c r="C11" s="155">
        <f>C12+C13</f>
        <v>150830.59999999998</v>
      </c>
      <c r="D11" s="155">
        <f t="shared" ref="D11:F11" si="1">D12+D13</f>
        <v>1675</v>
      </c>
      <c r="E11" s="155">
        <f t="shared" si="1"/>
        <v>16105.1</v>
      </c>
      <c r="F11" s="156">
        <f t="shared" si="1"/>
        <v>2389.9</v>
      </c>
      <c r="G11" s="155">
        <f>SUM(G12:G14)</f>
        <v>597.40000000000009</v>
      </c>
      <c r="H11" s="155">
        <f>SUM(H12:H14)</f>
        <v>597.40000000000009</v>
      </c>
      <c r="I11" s="155">
        <f>SUM(I12:I14)</f>
        <v>597.5</v>
      </c>
      <c r="J11" s="155">
        <f>SUM(J12:J14)</f>
        <v>597.6</v>
      </c>
    </row>
    <row r="12" spans="1:10" ht="18.75" customHeight="1">
      <c r="A12" s="222" t="s">
        <v>275</v>
      </c>
      <c r="B12" s="6">
        <v>3041</v>
      </c>
      <c r="C12" s="155">
        <v>148969.29999999999</v>
      </c>
      <c r="D12" s="155">
        <v>0</v>
      </c>
      <c r="E12" s="155">
        <f>1817.9+11928.1</f>
        <v>13746</v>
      </c>
      <c r="F12" s="156">
        <f t="shared" si="0"/>
        <v>0</v>
      </c>
      <c r="G12" s="155"/>
      <c r="H12" s="155"/>
      <c r="I12" s="155"/>
      <c r="J12" s="155"/>
    </row>
    <row r="13" spans="1:10" ht="36">
      <c r="A13" s="222" t="s">
        <v>473</v>
      </c>
      <c r="B13" s="6">
        <v>3042</v>
      </c>
      <c r="C13" s="155">
        <v>1861.3</v>
      </c>
      <c r="D13" s="155">
        <v>1675</v>
      </c>
      <c r="E13" s="155">
        <f>1831.9+527.2</f>
        <v>2359.1000000000004</v>
      </c>
      <c r="F13" s="156">
        <f t="shared" si="0"/>
        <v>2389.9</v>
      </c>
      <c r="G13" s="155">
        <v>597.40000000000009</v>
      </c>
      <c r="H13" s="155">
        <v>597.40000000000009</v>
      </c>
      <c r="I13" s="155">
        <v>597.5</v>
      </c>
      <c r="J13" s="155">
        <v>597.6</v>
      </c>
    </row>
    <row r="14" spans="1:10" ht="18.75" customHeight="1">
      <c r="A14" s="222" t="s">
        <v>276</v>
      </c>
      <c r="B14" s="6">
        <v>3050</v>
      </c>
      <c r="C14" s="155">
        <v>0</v>
      </c>
      <c r="D14" s="155">
        <v>0</v>
      </c>
      <c r="E14" s="155">
        <v>0</v>
      </c>
      <c r="F14" s="156">
        <f t="shared" si="0"/>
        <v>0</v>
      </c>
      <c r="G14" s="155">
        <v>0</v>
      </c>
      <c r="H14" s="155">
        <v>0</v>
      </c>
      <c r="I14" s="155">
        <v>0</v>
      </c>
      <c r="J14" s="155">
        <v>0</v>
      </c>
    </row>
    <row r="15" spans="1:10" ht="18.75" customHeight="1">
      <c r="A15" s="222" t="s">
        <v>277</v>
      </c>
      <c r="B15" s="6">
        <v>3060</v>
      </c>
      <c r="C15" s="156">
        <f>SUM(C16:C18)</f>
        <v>0</v>
      </c>
      <c r="D15" s="156">
        <f>SUM(D16:D18)</f>
        <v>0</v>
      </c>
      <c r="E15" s="156">
        <f>SUM(E16:E18)</f>
        <v>0</v>
      </c>
      <c r="F15" s="156">
        <f t="shared" si="0"/>
        <v>0</v>
      </c>
      <c r="G15" s="156">
        <f>SUM(G16:G18)</f>
        <v>0</v>
      </c>
      <c r="H15" s="156">
        <f>SUM(H16:H18)</f>
        <v>0</v>
      </c>
      <c r="I15" s="156">
        <f>SUM(I16:I18)</f>
        <v>0</v>
      </c>
      <c r="J15" s="156">
        <f>SUM(J16:J18)</f>
        <v>0</v>
      </c>
    </row>
    <row r="16" spans="1:10" ht="18.75" customHeight="1">
      <c r="A16" s="222" t="s">
        <v>278</v>
      </c>
      <c r="B16" s="224">
        <v>3061</v>
      </c>
      <c r="C16" s="155">
        <v>0</v>
      </c>
      <c r="D16" s="155">
        <v>0</v>
      </c>
      <c r="E16" s="155">
        <v>0</v>
      </c>
      <c r="F16" s="156">
        <f t="shared" si="0"/>
        <v>0</v>
      </c>
      <c r="G16" s="155">
        <v>0</v>
      </c>
      <c r="H16" s="155">
        <v>0</v>
      </c>
      <c r="I16" s="155">
        <v>0</v>
      </c>
      <c r="J16" s="155">
        <v>0</v>
      </c>
    </row>
    <row r="17" spans="1:10" ht="18.75" customHeight="1">
      <c r="A17" s="222" t="s">
        <v>279</v>
      </c>
      <c r="B17" s="224">
        <v>3062</v>
      </c>
      <c r="C17" s="155">
        <v>0</v>
      </c>
      <c r="D17" s="155">
        <v>0</v>
      </c>
      <c r="E17" s="155">
        <v>0</v>
      </c>
      <c r="F17" s="156">
        <f t="shared" si="0"/>
        <v>0</v>
      </c>
      <c r="G17" s="155">
        <v>0</v>
      </c>
      <c r="H17" s="155">
        <v>0</v>
      </c>
      <c r="I17" s="155">
        <v>0</v>
      </c>
      <c r="J17" s="155">
        <v>0</v>
      </c>
    </row>
    <row r="18" spans="1:10" ht="18.75" customHeight="1">
      <c r="A18" s="222" t="s">
        <v>280</v>
      </c>
      <c r="B18" s="224">
        <v>3063</v>
      </c>
      <c r="C18" s="155">
        <v>0</v>
      </c>
      <c r="D18" s="155">
        <v>0</v>
      </c>
      <c r="E18" s="155">
        <v>0</v>
      </c>
      <c r="F18" s="156">
        <f t="shared" si="0"/>
        <v>0</v>
      </c>
      <c r="G18" s="155">
        <v>0</v>
      </c>
      <c r="H18" s="155">
        <v>0</v>
      </c>
      <c r="I18" s="155">
        <v>0</v>
      </c>
      <c r="J18" s="155">
        <v>0</v>
      </c>
    </row>
    <row r="19" spans="1:10" ht="37.200000000000003" customHeight="1">
      <c r="A19" s="222" t="s">
        <v>494</v>
      </c>
      <c r="B19" s="6">
        <v>3070</v>
      </c>
      <c r="C19" s="155">
        <v>40063.599999999999</v>
      </c>
      <c r="D19" s="155">
        <v>13368.6</v>
      </c>
      <c r="E19" s="155">
        <f>32365.8+6578.8-3500</f>
        <v>35444.6</v>
      </c>
      <c r="F19" s="156">
        <f t="shared" si="0"/>
        <v>35368.699999999997</v>
      </c>
      <c r="G19" s="155">
        <v>8009.6</v>
      </c>
      <c r="H19" s="155">
        <v>9017.5</v>
      </c>
      <c r="I19" s="155">
        <v>10232.5</v>
      </c>
      <c r="J19" s="155">
        <v>8109.1</v>
      </c>
    </row>
    <row r="20" spans="1:10" ht="18.75" customHeight="1">
      <c r="A20" s="7" t="s">
        <v>282</v>
      </c>
      <c r="B20" s="8">
        <v>3100</v>
      </c>
      <c r="C20" s="157">
        <f>SUM(C21:C24,C28,C43,C44)</f>
        <v>-387011.39999999997</v>
      </c>
      <c r="D20" s="157">
        <f>SUM(D21:D24,D28,D43,D44)</f>
        <v>-405528.99999999994</v>
      </c>
      <c r="E20" s="157">
        <f>SUM(E21:E24,E28,E43,E44)</f>
        <v>-451498.30000000005</v>
      </c>
      <c r="F20" s="154">
        <f t="shared" si="0"/>
        <v>-461843</v>
      </c>
      <c r="G20" s="157">
        <f>SUM(G21:G24,G28,G43,G44)</f>
        <v>-113741.5</v>
      </c>
      <c r="H20" s="157">
        <f>SUM(H21:H24,H28,H43,H44)</f>
        <v>-115875.6</v>
      </c>
      <c r="I20" s="157">
        <f>SUM(I21:I24,I28,I43,I44)</f>
        <v>-120614.49999999999</v>
      </c>
      <c r="J20" s="157">
        <f>SUM(J21:J24,J28,J43,J44)</f>
        <v>-111611.4</v>
      </c>
    </row>
    <row r="21" spans="1:10" ht="18.75" customHeight="1">
      <c r="A21" s="222" t="s">
        <v>283</v>
      </c>
      <c r="B21" s="65">
        <v>3110</v>
      </c>
      <c r="C21" s="155">
        <v>-213568.7</v>
      </c>
      <c r="D21" s="155">
        <v>-216124.3</v>
      </c>
      <c r="E21" s="155">
        <f>ROUND(-172991.6-54914.3*1.2-11928.1,1)</f>
        <v>-250816.9</v>
      </c>
      <c r="F21" s="156">
        <f t="shared" si="0"/>
        <v>-244038.3</v>
      </c>
      <c r="G21" s="155">
        <v>-59729.3</v>
      </c>
      <c r="H21" s="155">
        <v>-61373</v>
      </c>
      <c r="I21" s="155">
        <v>-65498.7</v>
      </c>
      <c r="J21" s="155">
        <v>-57437.299999999996</v>
      </c>
    </row>
    <row r="22" spans="1:10" ht="18.75" customHeight="1">
      <c r="A22" s="222" t="s">
        <v>284</v>
      </c>
      <c r="B22" s="65">
        <v>3120</v>
      </c>
      <c r="C22" s="155">
        <v>-97941.3</v>
      </c>
      <c r="D22" s="155">
        <v>-103209.9</v>
      </c>
      <c r="E22" s="155">
        <f>-76981.2-27874.8</f>
        <v>-104856</v>
      </c>
      <c r="F22" s="156">
        <f t="shared" si="0"/>
        <v>-116333.79999999999</v>
      </c>
      <c r="G22" s="155">
        <f>-'I. Інф. до фін.плану'!G139-G34-G41</f>
        <v>-28736.6</v>
      </c>
      <c r="H22" s="155">
        <f>-'I. Інф. до фін.плану'!H139-H34-H41</f>
        <v>-29014.1</v>
      </c>
      <c r="I22" s="155">
        <f>-'I. Інф. до фін.плану'!I139-I34-I41</f>
        <v>-29291.599999999999</v>
      </c>
      <c r="J22" s="155">
        <f>-'I. Інф. до фін.плану'!J139-J34-J41</f>
        <v>-29291.5</v>
      </c>
    </row>
    <row r="23" spans="1:10" ht="18.75" customHeight="1">
      <c r="A23" s="222" t="s">
        <v>165</v>
      </c>
      <c r="B23" s="65">
        <v>3130</v>
      </c>
      <c r="C23" s="155">
        <v>-26351.1</v>
      </c>
      <c r="D23" s="155">
        <v>-28709.5</v>
      </c>
      <c r="E23" s="155">
        <f>-'ІІ. Розп. ч.п. та розр. з бюд.'!H44</f>
        <v>-29665.5</v>
      </c>
      <c r="F23" s="156">
        <f t="shared" si="0"/>
        <v>-32553.7</v>
      </c>
      <c r="G23" s="155">
        <f>-'I. Інф. до фін.плану'!G140</f>
        <v>-8031.5</v>
      </c>
      <c r="H23" s="155">
        <f>-'I. Інф. до фін.плану'!H140</f>
        <v>-8162</v>
      </c>
      <c r="I23" s="155">
        <f>-'I. Інф. до фін.плану'!I140</f>
        <v>-8166.9</v>
      </c>
      <c r="J23" s="155">
        <f>-'I. Інф. до фін.плану'!J140</f>
        <v>-8193.2999999999993</v>
      </c>
    </row>
    <row r="24" spans="1:10" ht="18.75" customHeight="1">
      <c r="A24" s="222" t="s">
        <v>285</v>
      </c>
      <c r="B24" s="65">
        <v>3140</v>
      </c>
      <c r="C24" s="156">
        <f>SUM(C25:C27)</f>
        <v>0</v>
      </c>
      <c r="D24" s="156">
        <f>SUM(D25:D27)</f>
        <v>0</v>
      </c>
      <c r="E24" s="156">
        <f>SUM(E25:E27)</f>
        <v>0</v>
      </c>
      <c r="F24" s="156">
        <f t="shared" si="0"/>
        <v>0</v>
      </c>
      <c r="G24" s="156">
        <f>SUM(G25:G27)</f>
        <v>0</v>
      </c>
      <c r="H24" s="156">
        <f>SUM(H25:H27)</f>
        <v>0</v>
      </c>
      <c r="I24" s="156">
        <f>SUM(I25:I27)</f>
        <v>0</v>
      </c>
      <c r="J24" s="156">
        <f>SUM(J25:J27)</f>
        <v>0</v>
      </c>
    </row>
    <row r="25" spans="1:10" ht="18.75" customHeight="1">
      <c r="A25" s="222" t="s">
        <v>278</v>
      </c>
      <c r="B25" s="96">
        <v>3141</v>
      </c>
      <c r="C25" s="155">
        <v>0</v>
      </c>
      <c r="D25" s="155">
        <v>0</v>
      </c>
      <c r="E25" s="155">
        <v>0</v>
      </c>
      <c r="F25" s="156">
        <f t="shared" si="0"/>
        <v>0</v>
      </c>
      <c r="G25" s="155">
        <v>0</v>
      </c>
      <c r="H25" s="155">
        <v>0</v>
      </c>
      <c r="I25" s="155">
        <v>0</v>
      </c>
      <c r="J25" s="155">
        <v>0</v>
      </c>
    </row>
    <row r="26" spans="1:10" ht="18.75" customHeight="1">
      <c r="A26" s="222" t="s">
        <v>279</v>
      </c>
      <c r="B26" s="96">
        <v>3142</v>
      </c>
      <c r="C26" s="155">
        <v>0</v>
      </c>
      <c r="D26" s="155">
        <v>0</v>
      </c>
      <c r="E26" s="155">
        <v>0</v>
      </c>
      <c r="F26" s="156">
        <f t="shared" si="0"/>
        <v>0</v>
      </c>
      <c r="G26" s="155">
        <v>0</v>
      </c>
      <c r="H26" s="155">
        <v>0</v>
      </c>
      <c r="I26" s="155">
        <v>0</v>
      </c>
      <c r="J26" s="155">
        <v>0</v>
      </c>
    </row>
    <row r="27" spans="1:10" ht="18.75" customHeight="1">
      <c r="A27" s="222" t="s">
        <v>280</v>
      </c>
      <c r="B27" s="96">
        <v>3143</v>
      </c>
      <c r="C27" s="155">
        <v>0</v>
      </c>
      <c r="D27" s="155">
        <v>0</v>
      </c>
      <c r="E27" s="155">
        <v>0</v>
      </c>
      <c r="F27" s="156">
        <f t="shared" si="0"/>
        <v>0</v>
      </c>
      <c r="G27" s="155">
        <v>0</v>
      </c>
      <c r="H27" s="155">
        <v>0</v>
      </c>
      <c r="I27" s="155">
        <v>0</v>
      </c>
      <c r="J27" s="155">
        <v>0</v>
      </c>
    </row>
    <row r="28" spans="1:10" ht="18.75" customHeight="1">
      <c r="A28" s="222" t="s">
        <v>286</v>
      </c>
      <c r="B28" s="65">
        <v>3150</v>
      </c>
      <c r="C28" s="156">
        <f>SUM(C29:C35,C38)</f>
        <v>-44550.2</v>
      </c>
      <c r="D28" s="156">
        <f>SUM(D29:D35,D38)</f>
        <v>-52707.5</v>
      </c>
      <c r="E28" s="156">
        <f>SUM(E29:E35,E38)</f>
        <v>-57707.9</v>
      </c>
      <c r="F28" s="156">
        <f t="shared" si="0"/>
        <v>-61119.200000000004</v>
      </c>
      <c r="G28" s="156">
        <f>SUM(G29:G35,G38)</f>
        <v>-15302.1</v>
      </c>
      <c r="H28" s="156">
        <f>SUM(H29:H35,H38)</f>
        <v>-15218</v>
      </c>
      <c r="I28" s="156">
        <f>SUM(I29:I35,I38)</f>
        <v>-15342.800000000001</v>
      </c>
      <c r="J28" s="156">
        <f>SUM(J29:J35,J38)</f>
        <v>-15256.300000000001</v>
      </c>
    </row>
    <row r="29" spans="1:10" ht="18.75" customHeight="1">
      <c r="A29" s="222" t="s">
        <v>31</v>
      </c>
      <c r="B29" s="96">
        <v>3151</v>
      </c>
      <c r="C29" s="155">
        <v>0</v>
      </c>
      <c r="D29" s="155">
        <v>0</v>
      </c>
      <c r="E29" s="155">
        <v>0</v>
      </c>
      <c r="F29" s="156">
        <f t="shared" si="0"/>
        <v>0</v>
      </c>
      <c r="G29" s="155">
        <f>-'ІІ. Розп. ч.п. та розр. з бюд.'!J26</f>
        <v>0</v>
      </c>
      <c r="H29" s="155">
        <f>-'ІІ. Розп. ч.п. та розр. з бюд.'!K26</f>
        <v>0</v>
      </c>
      <c r="I29" s="155">
        <f>-'ІІ. Розп. ч.п. та розр. з бюд.'!L26</f>
        <v>0</v>
      </c>
      <c r="J29" s="155">
        <f>-'ІІ. Розп. ч.п. та розр. з бюд.'!M26</f>
        <v>0</v>
      </c>
    </row>
    <row r="30" spans="1:10" ht="18.75" customHeight="1">
      <c r="A30" s="222" t="s">
        <v>287</v>
      </c>
      <c r="B30" s="96">
        <v>3152</v>
      </c>
      <c r="C30" s="155">
        <v>0</v>
      </c>
      <c r="D30" s="155">
        <v>0</v>
      </c>
      <c r="E30" s="155">
        <v>0</v>
      </c>
      <c r="F30" s="156">
        <f t="shared" si="0"/>
        <v>0</v>
      </c>
      <c r="G30" s="155">
        <f>-'ІІ. Розп. ч.п. та розр. з бюд.'!J27</f>
        <v>0</v>
      </c>
      <c r="H30" s="155">
        <f>-'ІІ. Розп. ч.п. та розр. з бюд.'!K27</f>
        <v>0</v>
      </c>
      <c r="I30" s="155">
        <f>-'ІІ. Розп. ч.п. та розр. з бюд.'!L27</f>
        <v>0</v>
      </c>
      <c r="J30" s="155">
        <f>-'ІІ. Розп. ч.п. та розр. з бюд.'!M27</f>
        <v>0</v>
      </c>
    </row>
    <row r="31" spans="1:10" ht="18.75" customHeight="1">
      <c r="A31" s="222" t="s">
        <v>252</v>
      </c>
      <c r="B31" s="96">
        <v>3153</v>
      </c>
      <c r="C31" s="155">
        <v>0</v>
      </c>
      <c r="D31" s="155">
        <v>0</v>
      </c>
      <c r="E31" s="155">
        <v>0</v>
      </c>
      <c r="F31" s="156">
        <f t="shared" si="0"/>
        <v>0</v>
      </c>
      <c r="G31" s="155">
        <v>0</v>
      </c>
      <c r="H31" s="155">
        <v>0</v>
      </c>
      <c r="I31" s="155">
        <v>0</v>
      </c>
      <c r="J31" s="155">
        <v>0</v>
      </c>
    </row>
    <row r="32" spans="1:10" ht="18.75" customHeight="1">
      <c r="A32" s="222" t="s">
        <v>254</v>
      </c>
      <c r="B32" s="96">
        <v>3154</v>
      </c>
      <c r="C32" s="155">
        <v>-9283.2999999999993</v>
      </c>
      <c r="D32" s="155">
        <f>-'ІІ. Розп. ч.п. та розр. з бюд.'!G31</f>
        <v>-10604.1</v>
      </c>
      <c r="E32" s="155">
        <f>-'ІІ. Розп. ч.п. та розр. з бюд.'!H31</f>
        <v>-11307.1</v>
      </c>
      <c r="F32" s="156">
        <f t="shared" si="0"/>
        <v>-11453.8</v>
      </c>
      <c r="G32" s="155">
        <f>-'ІІ. Розп. ч.п. та розр. з бюд.'!J31</f>
        <v>-2932.7</v>
      </c>
      <c r="H32" s="155">
        <f>-'ІІ. Розп. ч.п. та розр. з бюд.'!K31</f>
        <v>-2838.6</v>
      </c>
      <c r="I32" s="155">
        <f>-'ІІ. Розп. ч.п. та розр. з бюд.'!L31</f>
        <v>-2920.4</v>
      </c>
      <c r="J32" s="155">
        <f>-'ІІ. Розп. ч.п. та розр. з бюд.'!M31</f>
        <v>-2762.1</v>
      </c>
    </row>
    <row r="33" spans="1:10" ht="18.75" customHeight="1">
      <c r="A33" s="222" t="s">
        <v>468</v>
      </c>
      <c r="B33" s="96" t="s">
        <v>474</v>
      </c>
      <c r="C33" s="155">
        <v>-3915.5</v>
      </c>
      <c r="D33" s="155">
        <f>-'ІІ. Розп. ч.п. та розр. з бюд.'!G32</f>
        <v>-4010.9</v>
      </c>
      <c r="E33" s="155">
        <f>-'ІІ. Розп. ч.п. та розр. з бюд.'!H32</f>
        <v>-4008</v>
      </c>
      <c r="F33" s="156">
        <f t="shared" si="0"/>
        <v>-4010.8999999999996</v>
      </c>
      <c r="G33" s="155">
        <f>-'ІІ. Розп. ч.п. та розр. з бюд.'!J32</f>
        <v>-1056.5999999999999</v>
      </c>
      <c r="H33" s="155">
        <f>-'ІІ. Розп. ч.п. та розр. з бюд.'!K32</f>
        <v>-977.7</v>
      </c>
      <c r="I33" s="155">
        <f>-'ІІ. Розп. ч.п. та розр. з бюд.'!L32</f>
        <v>-952.4</v>
      </c>
      <c r="J33" s="155">
        <f>-'ІІ. Розп. ч.п. та розр. з бюд.'!M32</f>
        <v>-1024.2</v>
      </c>
    </row>
    <row r="34" spans="1:10" ht="18.75" customHeight="1">
      <c r="A34" s="222" t="s">
        <v>255</v>
      </c>
      <c r="B34" s="96">
        <v>3155</v>
      </c>
      <c r="C34" s="155">
        <v>-22494.7</v>
      </c>
      <c r="D34" s="155">
        <f>-'ІІ. Розп. ч.п. та розр. з бюд.'!G33</f>
        <v>-24127.1</v>
      </c>
      <c r="E34" s="155">
        <f>-'ІІ. Розп. ч.п. та розр. з бюд.'!H33</f>
        <v>-24933.3</v>
      </c>
      <c r="F34" s="156">
        <f t="shared" si="0"/>
        <v>-27194.9</v>
      </c>
      <c r="G34" s="155">
        <f>-'ІІ. Розп. ч.п. та розр. з бюд.'!J33</f>
        <v>-6717.6</v>
      </c>
      <c r="H34" s="155">
        <f>-'ІІ. Розп. ч.п. та розр. з бюд.'!K33</f>
        <v>-6782.5</v>
      </c>
      <c r="I34" s="155">
        <f>-'ІІ. Розп. ч.п. та розр. з бюд.'!L33</f>
        <v>-6847.4</v>
      </c>
      <c r="J34" s="155">
        <f>-'ІІ. Розп. ч.п. та розр. з бюд.'!M33</f>
        <v>-6847.4</v>
      </c>
    </row>
    <row r="35" spans="1:10" ht="21.75" customHeight="1">
      <c r="A35" s="91" t="s">
        <v>288</v>
      </c>
      <c r="B35" s="96">
        <v>3156</v>
      </c>
      <c r="C35" s="156">
        <f t="shared" ref="C35:J35" si="2">SUM(C36:C37)</f>
        <v>0</v>
      </c>
      <c r="D35" s="156">
        <f t="shared" si="2"/>
        <v>0</v>
      </c>
      <c r="E35" s="156">
        <f t="shared" si="2"/>
        <v>0</v>
      </c>
      <c r="F35" s="156">
        <f t="shared" si="0"/>
        <v>0</v>
      </c>
      <c r="G35" s="156">
        <f t="shared" si="2"/>
        <v>0</v>
      </c>
      <c r="H35" s="156">
        <f t="shared" si="2"/>
        <v>0</v>
      </c>
      <c r="I35" s="156">
        <f t="shared" si="2"/>
        <v>0</v>
      </c>
      <c r="J35" s="156">
        <f t="shared" si="2"/>
        <v>0</v>
      </c>
    </row>
    <row r="36" spans="1:10" ht="36.75" customHeight="1">
      <c r="A36" s="222" t="s">
        <v>34</v>
      </c>
      <c r="B36" s="96" t="s">
        <v>289</v>
      </c>
      <c r="C36" s="155">
        <v>0</v>
      </c>
      <c r="D36" s="155">
        <v>0</v>
      </c>
      <c r="E36" s="155">
        <v>0</v>
      </c>
      <c r="F36" s="156">
        <f t="shared" si="0"/>
        <v>0</v>
      </c>
      <c r="G36" s="155">
        <v>0</v>
      </c>
      <c r="H36" s="155">
        <v>0</v>
      </c>
      <c r="I36" s="155">
        <v>0</v>
      </c>
      <c r="J36" s="155">
        <v>0</v>
      </c>
    </row>
    <row r="37" spans="1:10" ht="54" customHeight="1">
      <c r="A37" s="222" t="s">
        <v>35</v>
      </c>
      <c r="B37" s="65" t="s">
        <v>290</v>
      </c>
      <c r="C37" s="155">
        <v>0</v>
      </c>
      <c r="D37" s="155">
        <v>0</v>
      </c>
      <c r="E37" s="155">
        <v>0</v>
      </c>
      <c r="F37" s="156">
        <f t="shared" si="0"/>
        <v>0</v>
      </c>
      <c r="G37" s="155">
        <v>0</v>
      </c>
      <c r="H37" s="155">
        <v>0</v>
      </c>
      <c r="I37" s="155">
        <v>0</v>
      </c>
      <c r="J37" s="155">
        <v>0</v>
      </c>
    </row>
    <row r="38" spans="1:10" ht="18.75" customHeight="1">
      <c r="A38" s="222" t="s">
        <v>291</v>
      </c>
      <c r="B38" s="65">
        <v>3157</v>
      </c>
      <c r="C38" s="155">
        <f t="shared" ref="C38:J38" si="3">SUM(C39:C42)</f>
        <v>-8856.7000000000007</v>
      </c>
      <c r="D38" s="155">
        <f t="shared" si="3"/>
        <v>-13965.4</v>
      </c>
      <c r="E38" s="155">
        <f t="shared" si="3"/>
        <v>-17459.5</v>
      </c>
      <c r="F38" s="156">
        <f t="shared" si="3"/>
        <v>-18459.600000000002</v>
      </c>
      <c r="G38" s="155">
        <f t="shared" si="3"/>
        <v>-4595.2000000000007</v>
      </c>
      <c r="H38" s="155">
        <f t="shared" si="3"/>
        <v>-4619.2000000000007</v>
      </c>
      <c r="I38" s="155">
        <f t="shared" si="3"/>
        <v>-4622.6000000000004</v>
      </c>
      <c r="J38" s="155">
        <f t="shared" si="3"/>
        <v>-4622.6000000000004</v>
      </c>
    </row>
    <row r="39" spans="1:10" ht="18.75" customHeight="1">
      <c r="A39" s="218" t="s">
        <v>408</v>
      </c>
      <c r="B39" s="65" t="s">
        <v>475</v>
      </c>
      <c r="C39" s="155">
        <v>-859.6</v>
      </c>
      <c r="D39" s="155">
        <f>-'ІІ. Розп. ч.п. та розр. з бюд.'!G37</f>
        <v>-837.2</v>
      </c>
      <c r="E39" s="155">
        <f>-'ІІ. Розп. ч.п. та розр. з бюд.'!H37</f>
        <v>-4329.3999999999996</v>
      </c>
      <c r="F39" s="156">
        <f t="shared" si="0"/>
        <v>-4643.2</v>
      </c>
      <c r="G39" s="155">
        <f>-'ІІ. Розп. ч.п. та розр. з бюд.'!J37</f>
        <v>-1160.8</v>
      </c>
      <c r="H39" s="155">
        <f>-'ІІ. Розп. ч.п. та розр. з бюд.'!K37</f>
        <v>-1160.8</v>
      </c>
      <c r="I39" s="155">
        <f>-'ІІ. Розп. ч.п. та розр. з бюд.'!L37</f>
        <v>-1160.8</v>
      </c>
      <c r="J39" s="155">
        <f>-'ІІ. Розп. ч.п. та розр. з бюд.'!M37</f>
        <v>-1160.8</v>
      </c>
    </row>
    <row r="40" spans="1:10" ht="18.75" customHeight="1">
      <c r="A40" s="218" t="s">
        <v>476</v>
      </c>
      <c r="B40" s="65" t="s">
        <v>477</v>
      </c>
      <c r="C40" s="155">
        <v>-5715.7</v>
      </c>
      <c r="D40" s="155">
        <f>-'ІІ. Розп. ч.п. та розр. з бюд.'!G39</f>
        <v>-6425.9</v>
      </c>
      <c r="E40" s="155">
        <f>-'ІІ. Розп. ч.п. та розр. з бюд.'!H39</f>
        <v>-6202.8</v>
      </c>
      <c r="F40" s="156">
        <f t="shared" si="0"/>
        <v>-6261.7999999999993</v>
      </c>
      <c r="G40" s="155">
        <f>-'ІІ. Розп. ч.п. та розр. з бюд.'!J39</f>
        <v>-1568.3</v>
      </c>
      <c r="H40" s="155">
        <f>-'ІІ. Розп. ч.п. та розр. з бюд.'!K39</f>
        <v>-1574.3</v>
      </c>
      <c r="I40" s="155">
        <f>-'ІІ. Розп. ч.п. та розр. з бюд.'!L39</f>
        <v>-1559.6</v>
      </c>
      <c r="J40" s="155">
        <f>-'ІІ. Розп. ч.п. та розр. з бюд.'!M39</f>
        <v>-1559.6</v>
      </c>
    </row>
    <row r="41" spans="1:10" ht="18.75" customHeight="1">
      <c r="A41" s="218" t="s">
        <v>478</v>
      </c>
      <c r="B41" s="65" t="s">
        <v>479</v>
      </c>
      <c r="C41" s="155">
        <v>-2280.6999999999998</v>
      </c>
      <c r="D41" s="155">
        <f>-'ІІ. Розп. ч.п. та розр. з бюд.'!G45</f>
        <v>-6701.9</v>
      </c>
      <c r="E41" s="155">
        <f>-'ІІ. Розп. ч.п. та розр. з бюд.'!H45</f>
        <v>-6926.9</v>
      </c>
      <c r="F41" s="156">
        <f t="shared" si="0"/>
        <v>-7554.2000000000007</v>
      </c>
      <c r="G41" s="155">
        <f>-'ІІ. Розп. ч.п. та розр. з бюд.'!J45</f>
        <v>-1866</v>
      </c>
      <c r="H41" s="155">
        <f>-'ІІ. Розп. ч.п. та розр. з бюд.'!K45</f>
        <v>-1884</v>
      </c>
      <c r="I41" s="155">
        <f>-'ІІ. Розп. ч.п. та розр. з бюд.'!L45</f>
        <v>-1902.1</v>
      </c>
      <c r="J41" s="155">
        <f>-'ІІ. Розп. ч.п. та розр. з бюд.'!M45</f>
        <v>-1902.1</v>
      </c>
    </row>
    <row r="42" spans="1:10" ht="18.75" customHeight="1">
      <c r="A42" s="218" t="s">
        <v>410</v>
      </c>
      <c r="B42" s="65" t="s">
        <v>480</v>
      </c>
      <c r="C42" s="155">
        <v>-0.7</v>
      </c>
      <c r="D42" s="155">
        <f>-'ІІ. Розп. ч.п. та розр. з бюд.'!G34</f>
        <v>-0.4</v>
      </c>
      <c r="E42" s="155">
        <f>-'ІІ. Розп. ч.п. та розр. з бюд.'!H34</f>
        <v>-0.4</v>
      </c>
      <c r="F42" s="156">
        <f t="shared" si="0"/>
        <v>-0.4</v>
      </c>
      <c r="G42" s="155">
        <f>-'ІІ. Розп. ч.п. та розр. з бюд.'!J34</f>
        <v>-0.1</v>
      </c>
      <c r="H42" s="155">
        <f>-'ІІ. Розп. ч.п. та розр. з бюд.'!K34</f>
        <v>-0.1</v>
      </c>
      <c r="I42" s="155">
        <f>-'ІІ. Розп. ч.п. та розр. з бюд.'!L34</f>
        <v>-0.1</v>
      </c>
      <c r="J42" s="155">
        <f>-'ІІ. Розп. ч.п. та розр. з бюд.'!M34</f>
        <v>-0.1</v>
      </c>
    </row>
    <row r="43" spans="1:10" ht="18.75" customHeight="1">
      <c r="A43" s="222" t="s">
        <v>292</v>
      </c>
      <c r="B43" s="65">
        <v>3160</v>
      </c>
      <c r="C43" s="155">
        <v>0</v>
      </c>
      <c r="D43" s="155">
        <v>0</v>
      </c>
      <c r="E43" s="155">
        <v>0</v>
      </c>
      <c r="F43" s="156">
        <f t="shared" si="0"/>
        <v>0</v>
      </c>
      <c r="G43" s="155">
        <v>0</v>
      </c>
      <c r="H43" s="155">
        <v>0</v>
      </c>
      <c r="I43" s="155">
        <v>0</v>
      </c>
      <c r="J43" s="155">
        <v>0</v>
      </c>
    </row>
    <row r="44" spans="1:10" ht="37.200000000000003" customHeight="1">
      <c r="A44" s="218" t="s">
        <v>481</v>
      </c>
      <c r="B44" s="67">
        <v>3170</v>
      </c>
      <c r="C44" s="155">
        <v>-4600.1000000000004</v>
      </c>
      <c r="D44" s="155">
        <v>-4777.8</v>
      </c>
      <c r="E44" s="155">
        <f>-7081.1-1370.9</f>
        <v>-8452</v>
      </c>
      <c r="F44" s="156">
        <f t="shared" si="0"/>
        <v>-7798</v>
      </c>
      <c r="G44" s="155">
        <v>-1942</v>
      </c>
      <c r="H44" s="155">
        <v>-2108.5</v>
      </c>
      <c r="I44" s="155">
        <v>-2314.5</v>
      </c>
      <c r="J44" s="155">
        <v>-1433</v>
      </c>
    </row>
    <row r="45" spans="1:10" ht="18.75" customHeight="1">
      <c r="A45" s="7" t="s">
        <v>293</v>
      </c>
      <c r="B45" s="64">
        <v>3195</v>
      </c>
      <c r="C45" s="157">
        <f>SUM(C7,C20)</f>
        <v>204231.00000000006</v>
      </c>
      <c r="D45" s="157">
        <f>SUM(D7,D20)</f>
        <v>81569.400000000023</v>
      </c>
      <c r="E45" s="157">
        <f>SUM(E7,E20)</f>
        <v>69384.099999999919</v>
      </c>
      <c r="F45" s="154">
        <f t="shared" si="0"/>
        <v>83234.2</v>
      </c>
      <c r="G45" s="157">
        <f>SUM(G7,G20)</f>
        <v>20836.899999999994</v>
      </c>
      <c r="H45" s="157">
        <f>SUM(H7,H20)</f>
        <v>20984.699999999983</v>
      </c>
      <c r="I45" s="157">
        <f>SUM(I7,I20)</f>
        <v>18148.10000000002</v>
      </c>
      <c r="J45" s="157">
        <f>SUM(J7,J20)</f>
        <v>23264.5</v>
      </c>
    </row>
    <row r="46" spans="1:10" ht="29.25" customHeight="1">
      <c r="A46" s="227" t="s">
        <v>294</v>
      </c>
      <c r="B46" s="224"/>
      <c r="C46" s="347"/>
      <c r="D46" s="348"/>
      <c r="E46" s="348"/>
      <c r="F46" s="348"/>
      <c r="G46" s="348"/>
      <c r="H46" s="348"/>
      <c r="I46" s="348"/>
      <c r="J46" s="349"/>
    </row>
    <row r="47" spans="1:10" ht="18.75" customHeight="1">
      <c r="A47" s="60" t="s">
        <v>295</v>
      </c>
      <c r="B47" s="223">
        <v>3200</v>
      </c>
      <c r="C47" s="157">
        <f>SUM(C48,C50:C54)</f>
        <v>0</v>
      </c>
      <c r="D47" s="157">
        <f>SUM(D48,D50:D54)</f>
        <v>0</v>
      </c>
      <c r="E47" s="157">
        <f>SUM(E48,E50:E54)</f>
        <v>0</v>
      </c>
      <c r="F47" s="154">
        <f>SUM(G47:J47)</f>
        <v>0</v>
      </c>
      <c r="G47" s="157">
        <f>SUM(G48,G50:G54)</f>
        <v>0</v>
      </c>
      <c r="H47" s="157">
        <f>SUM(H48,H50:H54)</f>
        <v>0</v>
      </c>
      <c r="I47" s="157">
        <f>SUM(I48,I50:I54)</f>
        <v>0</v>
      </c>
      <c r="J47" s="157">
        <f>SUM(J48,J50:J54)</f>
        <v>0</v>
      </c>
    </row>
    <row r="48" spans="1:10" ht="18.75" customHeight="1">
      <c r="A48" s="222" t="s">
        <v>296</v>
      </c>
      <c r="B48" s="6">
        <v>3210</v>
      </c>
      <c r="C48" s="155">
        <v>0</v>
      </c>
      <c r="D48" s="155">
        <v>0</v>
      </c>
      <c r="E48" s="155">
        <v>0</v>
      </c>
      <c r="F48" s="156">
        <f t="shared" si="0"/>
        <v>0</v>
      </c>
      <c r="G48" s="155">
        <v>0</v>
      </c>
      <c r="H48" s="155">
        <v>0</v>
      </c>
      <c r="I48" s="155">
        <v>0</v>
      </c>
      <c r="J48" s="155">
        <v>0</v>
      </c>
    </row>
    <row r="49" spans="1:10" ht="18.75" customHeight="1">
      <c r="A49" s="222" t="s">
        <v>297</v>
      </c>
      <c r="B49" s="6">
        <v>3215</v>
      </c>
      <c r="C49" s="155">
        <v>0</v>
      </c>
      <c r="D49" s="155">
        <v>0</v>
      </c>
      <c r="E49" s="155">
        <v>0</v>
      </c>
      <c r="F49" s="156">
        <f t="shared" si="0"/>
        <v>0</v>
      </c>
      <c r="G49" s="155">
        <v>0</v>
      </c>
      <c r="H49" s="155">
        <v>0</v>
      </c>
      <c r="I49" s="155">
        <v>0</v>
      </c>
      <c r="J49" s="155">
        <v>0</v>
      </c>
    </row>
    <row r="50" spans="1:10" ht="18.75" customHeight="1">
      <c r="A50" s="222" t="s">
        <v>298</v>
      </c>
      <c r="B50" s="6">
        <v>3220</v>
      </c>
      <c r="C50" s="155">
        <v>0</v>
      </c>
      <c r="D50" s="155">
        <v>0</v>
      </c>
      <c r="E50" s="155">
        <v>0</v>
      </c>
      <c r="F50" s="156">
        <f t="shared" si="0"/>
        <v>0</v>
      </c>
      <c r="G50" s="155">
        <v>0</v>
      </c>
      <c r="H50" s="155">
        <v>0</v>
      </c>
      <c r="I50" s="155">
        <v>0</v>
      </c>
      <c r="J50" s="155">
        <v>0</v>
      </c>
    </row>
    <row r="51" spans="1:10" ht="18.75" customHeight="1">
      <c r="A51" s="222" t="s">
        <v>299</v>
      </c>
      <c r="B51" s="6">
        <v>3225</v>
      </c>
      <c r="C51" s="155">
        <v>0</v>
      </c>
      <c r="D51" s="155">
        <v>0</v>
      </c>
      <c r="E51" s="155">
        <v>0</v>
      </c>
      <c r="F51" s="156">
        <f t="shared" si="0"/>
        <v>0</v>
      </c>
      <c r="G51" s="155">
        <v>0</v>
      </c>
      <c r="H51" s="155">
        <v>0</v>
      </c>
      <c r="I51" s="155">
        <v>0</v>
      </c>
      <c r="J51" s="155">
        <v>0</v>
      </c>
    </row>
    <row r="52" spans="1:10" ht="18.75" customHeight="1">
      <c r="A52" s="222" t="s">
        <v>300</v>
      </c>
      <c r="B52" s="6">
        <v>3230</v>
      </c>
      <c r="C52" s="155">
        <v>0</v>
      </c>
      <c r="D52" s="155">
        <v>0</v>
      </c>
      <c r="E52" s="155">
        <v>0</v>
      </c>
      <c r="F52" s="156">
        <f t="shared" si="0"/>
        <v>0</v>
      </c>
      <c r="G52" s="155">
        <v>0</v>
      </c>
      <c r="H52" s="155">
        <v>0</v>
      </c>
      <c r="I52" s="155">
        <v>0</v>
      </c>
      <c r="J52" s="155">
        <v>0</v>
      </c>
    </row>
    <row r="53" spans="1:10" ht="18.75" customHeight="1">
      <c r="A53" s="222" t="s">
        <v>301</v>
      </c>
      <c r="B53" s="6">
        <v>3235</v>
      </c>
      <c r="C53" s="155">
        <v>0</v>
      </c>
      <c r="D53" s="155">
        <v>0</v>
      </c>
      <c r="E53" s="155">
        <v>0</v>
      </c>
      <c r="F53" s="156">
        <f t="shared" si="0"/>
        <v>0</v>
      </c>
      <c r="G53" s="155">
        <v>0</v>
      </c>
      <c r="H53" s="155">
        <v>0</v>
      </c>
      <c r="I53" s="155">
        <v>0</v>
      </c>
      <c r="J53" s="155">
        <v>0</v>
      </c>
    </row>
    <row r="54" spans="1:10" ht="18.75" customHeight="1">
      <c r="A54" s="222" t="s">
        <v>281</v>
      </c>
      <c r="B54" s="6">
        <v>3240</v>
      </c>
      <c r="C54" s="155">
        <v>0</v>
      </c>
      <c r="D54" s="155">
        <v>0</v>
      </c>
      <c r="E54" s="155">
        <v>0</v>
      </c>
      <c r="F54" s="156">
        <f t="shared" si="0"/>
        <v>0</v>
      </c>
      <c r="G54" s="155">
        <v>0</v>
      </c>
      <c r="H54" s="155">
        <v>0</v>
      </c>
      <c r="I54" s="155">
        <v>0</v>
      </c>
      <c r="J54" s="155">
        <v>0</v>
      </c>
    </row>
    <row r="55" spans="1:10" ht="18.75" customHeight="1">
      <c r="A55" s="7" t="s">
        <v>302</v>
      </c>
      <c r="B55" s="8">
        <v>3255</v>
      </c>
      <c r="C55" s="157">
        <f>SUM(C56,C58,C63,C64)</f>
        <v>-314653.2</v>
      </c>
      <c r="D55" s="157">
        <f>SUM(D56,D58,D63,D64)</f>
        <v>-171692.2</v>
      </c>
      <c r="E55" s="157">
        <f>SUM(E56,E58,E63,E64)</f>
        <v>-177841</v>
      </c>
      <c r="F55" s="154">
        <f t="shared" si="0"/>
        <v>-161811.80000000002</v>
      </c>
      <c r="G55" s="157">
        <f>SUM(G56,G58,G63,G64)</f>
        <v>-22908.400000000001</v>
      </c>
      <c r="H55" s="157">
        <f>SUM(H56,H58,H63,H64)</f>
        <v>-50162.8</v>
      </c>
      <c r="I55" s="157">
        <f>SUM(I56,I58,I63,I64)</f>
        <v>-47654.5</v>
      </c>
      <c r="J55" s="157">
        <f>SUM(J56,J58,J63,J64)</f>
        <v>-41086.1</v>
      </c>
    </row>
    <row r="56" spans="1:10" ht="18.75" customHeight="1">
      <c r="A56" s="222" t="s">
        <v>303</v>
      </c>
      <c r="B56" s="65">
        <v>3260</v>
      </c>
      <c r="C56" s="155">
        <v>0</v>
      </c>
      <c r="D56" s="155">
        <v>0</v>
      </c>
      <c r="E56" s="155">
        <v>0</v>
      </c>
      <c r="F56" s="156">
        <f t="shared" si="0"/>
        <v>0</v>
      </c>
      <c r="G56" s="155">
        <v>0</v>
      </c>
      <c r="H56" s="155">
        <v>0</v>
      </c>
      <c r="I56" s="155">
        <v>0</v>
      </c>
      <c r="J56" s="155">
        <v>0</v>
      </c>
    </row>
    <row r="57" spans="1:10" ht="18.75" customHeight="1">
      <c r="A57" s="222" t="s">
        <v>304</v>
      </c>
      <c r="B57" s="65">
        <v>3265</v>
      </c>
      <c r="C57" s="155">
        <v>0</v>
      </c>
      <c r="D57" s="155">
        <v>0</v>
      </c>
      <c r="E57" s="155">
        <v>0</v>
      </c>
      <c r="F57" s="156">
        <f t="shared" si="0"/>
        <v>0</v>
      </c>
      <c r="G57" s="155">
        <v>0</v>
      </c>
      <c r="H57" s="155">
        <v>0</v>
      </c>
      <c r="I57" s="155">
        <v>0</v>
      </c>
      <c r="J57" s="155">
        <v>0</v>
      </c>
    </row>
    <row r="58" spans="1:10" ht="18.75" customHeight="1">
      <c r="A58" s="222" t="s">
        <v>305</v>
      </c>
      <c r="B58" s="6">
        <v>3270</v>
      </c>
      <c r="C58" s="161">
        <f>SUM(C59:C62)</f>
        <v>-71842.399999999994</v>
      </c>
      <c r="D58" s="161">
        <f>SUM(D59:D62)</f>
        <v>0</v>
      </c>
      <c r="E58" s="161">
        <f>SUM(E59:E62)</f>
        <v>-42695.399999999994</v>
      </c>
      <c r="F58" s="156">
        <f t="shared" si="0"/>
        <v>0</v>
      </c>
      <c r="G58" s="161">
        <f>SUM(G59:G62)</f>
        <v>0</v>
      </c>
      <c r="H58" s="161">
        <f>SUM(H59:H62)</f>
        <v>0</v>
      </c>
      <c r="I58" s="161">
        <f>SUM(I59:I62)</f>
        <v>0</v>
      </c>
      <c r="J58" s="161">
        <f>SUM(J59:J62)</f>
        <v>0</v>
      </c>
    </row>
    <row r="59" spans="1:10" ht="18.75" customHeight="1">
      <c r="A59" s="222" t="s">
        <v>306</v>
      </c>
      <c r="B59" s="6">
        <v>3271</v>
      </c>
      <c r="C59" s="155">
        <v>-40121.199999999997</v>
      </c>
      <c r="D59" s="155">
        <v>0</v>
      </c>
      <c r="E59" s="155">
        <f>-32998.2</f>
        <v>-32998.199999999997</v>
      </c>
      <c r="F59" s="156">
        <f t="shared" si="0"/>
        <v>0</v>
      </c>
      <c r="G59" s="155">
        <f>ROUND(('VI-VII джер.кап.інв.'!R11+'VI-VII джер.кап.інв.'!W11)*1.2,1)</f>
        <v>0</v>
      </c>
      <c r="H59" s="155">
        <f>ROUND(('VI-VII джер.кап.інв.'!S11+'VI-VII джер.кап.інв.'!X11)*1.2,1)</f>
        <v>0</v>
      </c>
      <c r="I59" s="155">
        <f>ROUND(('VI-VII джер.кап.інв.'!T11+'VI-VII джер.кап.інв.'!Y11)*1.2,1)</f>
        <v>0</v>
      </c>
      <c r="J59" s="155">
        <f>ROUND(('VI-VII джер.кап.інв.'!U11+'VI-VII джер.кап.інв.'!Z11)*1.2,1)</f>
        <v>0</v>
      </c>
    </row>
    <row r="60" spans="1:10" ht="18.75" customHeight="1">
      <c r="A60" s="222" t="s">
        <v>307</v>
      </c>
      <c r="B60" s="6">
        <v>3272</v>
      </c>
      <c r="C60" s="155">
        <v>-30474.799999999999</v>
      </c>
      <c r="D60" s="155">
        <v>0</v>
      </c>
      <c r="E60" s="155">
        <f>-8608.4-336.2</f>
        <v>-8944.6</v>
      </c>
      <c r="F60" s="156">
        <f t="shared" si="0"/>
        <v>0</v>
      </c>
      <c r="G60" s="155">
        <f>ROUND(('VI-VII джер.кап.інв.'!R10+'VI-VII джер.кап.інв.'!W10)*1.2,1)</f>
        <v>0</v>
      </c>
      <c r="H60" s="155">
        <f>-ROUND(('VI-VII джер.кап.інв.'!S10+'VI-VII джер.кап.інв.'!X10)*1.2,1)</f>
        <v>0</v>
      </c>
      <c r="I60" s="155">
        <f>-ROUND(('VI-VII джер.кап.інв.'!T10+'VI-VII джер.кап.інв.'!Y10)*1.2,1)</f>
        <v>0</v>
      </c>
      <c r="J60" s="155">
        <f>-ROUND(('VI-VII джер.кап.інв.'!U10+'VI-VII джер.кап.інв.'!Z10)*1.2,1)</f>
        <v>0</v>
      </c>
    </row>
    <row r="61" spans="1:10" ht="18.75" customHeight="1">
      <c r="A61" s="222" t="s">
        <v>308</v>
      </c>
      <c r="B61" s="224">
        <v>3273</v>
      </c>
      <c r="C61" s="155">
        <v>-1246.4000000000001</v>
      </c>
      <c r="D61" s="155">
        <v>0</v>
      </c>
      <c r="E61" s="155">
        <f>-752.6</f>
        <v>-752.6</v>
      </c>
      <c r="F61" s="156">
        <f t="shared" si="0"/>
        <v>0</v>
      </c>
      <c r="G61" s="155">
        <f>ROUND(('VI-VII джер.кап.інв.'!R13+'VI-VII джер.кап.інв.'!W13)*1.2,1)</f>
        <v>0</v>
      </c>
      <c r="H61" s="155">
        <f>ROUND(('VI-VII джер.кап.інв.'!S13+'VI-VII джер.кап.інв.'!X13)*1.2,1)</f>
        <v>0</v>
      </c>
      <c r="I61" s="155">
        <f>ROUND(('VI-VII джер.кап.інв.'!T13+'VI-VII джер.кап.інв.'!Y13)*1.2,1)</f>
        <v>0</v>
      </c>
      <c r="J61" s="155">
        <f>ROUND(('VI-VII джер.кап.інв.'!U13+'VI-VII джер.кап.інв.'!Z13)*1.2,1)</f>
        <v>0</v>
      </c>
    </row>
    <row r="62" spans="1:10" ht="18.75" customHeight="1">
      <c r="A62" s="222" t="s">
        <v>309</v>
      </c>
      <c r="B62" s="226">
        <v>3274</v>
      </c>
      <c r="C62" s="155"/>
      <c r="D62" s="155">
        <v>0</v>
      </c>
      <c r="E62" s="155">
        <v>0</v>
      </c>
      <c r="F62" s="156">
        <f t="shared" si="0"/>
        <v>0</v>
      </c>
      <c r="G62" s="155">
        <f>ROUND(('VI-VII джер.кап.інв.'!R12+'VI-VII джер.кап.інв.'!W12)*1.2,1)</f>
        <v>0</v>
      </c>
      <c r="H62" s="155">
        <f>ROUND(('VI-VII джер.кап.інв.'!S12+'VI-VII джер.кап.інв.'!X12)*1.2,1)</f>
        <v>0</v>
      </c>
      <c r="I62" s="155">
        <f>ROUND(('VI-VII джер.кап.інв.'!T12+'VI-VII джер.кап.інв.'!Y12)*1.2,1)</f>
        <v>0</v>
      </c>
      <c r="J62" s="155">
        <f>ROUND(('VI-VII джер.кап.інв.'!U12+'VI-VII джер.кап.інв.'!Z12)*1.2,1)</f>
        <v>0</v>
      </c>
    </row>
    <row r="63" spans="1:10" ht="18.75" customHeight="1">
      <c r="A63" s="222" t="s">
        <v>310</v>
      </c>
      <c r="B63" s="66">
        <v>3280</v>
      </c>
      <c r="C63" s="155"/>
      <c r="D63" s="155">
        <v>0</v>
      </c>
      <c r="E63" s="155">
        <v>0</v>
      </c>
      <c r="F63" s="156">
        <f t="shared" si="0"/>
        <v>0</v>
      </c>
      <c r="G63" s="155">
        <v>0</v>
      </c>
      <c r="H63" s="155">
        <v>0</v>
      </c>
      <c r="I63" s="155">
        <v>0</v>
      </c>
      <c r="J63" s="155">
        <v>0</v>
      </c>
    </row>
    <row r="64" spans="1:10" ht="18.75" customHeight="1">
      <c r="A64" s="222" t="s">
        <v>291</v>
      </c>
      <c r="B64" s="67">
        <v>3290</v>
      </c>
      <c r="C64" s="155">
        <f>C65+C66</f>
        <v>-242810.80000000002</v>
      </c>
      <c r="D64" s="155">
        <f t="shared" ref="D64:E64" si="4">D65+D66</f>
        <v>-171692.2</v>
      </c>
      <c r="E64" s="155">
        <f t="shared" si="4"/>
        <v>-135145.60000000001</v>
      </c>
      <c r="F64" s="156">
        <f>F65+F66</f>
        <v>-161811.80000000002</v>
      </c>
      <c r="G64" s="155">
        <f>SUM(G65:G66)</f>
        <v>-22908.400000000001</v>
      </c>
      <c r="H64" s="155">
        <f>SUM(H65:H66)</f>
        <v>-50162.8</v>
      </c>
      <c r="I64" s="155">
        <f>SUM(I65:I66)</f>
        <v>-47654.5</v>
      </c>
      <c r="J64" s="155">
        <f>SUM(J65:J66)</f>
        <v>-41086.1</v>
      </c>
    </row>
    <row r="65" spans="1:10" ht="18.75" customHeight="1">
      <c r="A65" s="218" t="s">
        <v>482</v>
      </c>
      <c r="B65" s="67" t="s">
        <v>483</v>
      </c>
      <c r="C65" s="155">
        <v>-223481.2</v>
      </c>
      <c r="D65" s="155">
        <v>-164535.6</v>
      </c>
      <c r="E65" s="155">
        <f>-55710.7-15877</f>
        <v>-71587.7</v>
      </c>
      <c r="F65" s="154">
        <f t="shared" si="0"/>
        <v>-161811.80000000002</v>
      </c>
      <c r="G65" s="155">
        <f>ROUND((-'VI-VII джер.кап.інв.'!AB14+'VI-VII джер.кап.інв.'!W14)*1.2,1)</f>
        <v>-22908.400000000001</v>
      </c>
      <c r="H65" s="155">
        <f>ROUND((-'VI-VII джер.кап.інв.'!AC14+'VI-VII джер.кап.інв.'!X14)*1.2,1)</f>
        <v>-50162.8</v>
      </c>
      <c r="I65" s="155">
        <f>ROUND((-'VI-VII джер.кап.інв.'!AD14+'VI-VII джер.кап.інв.'!Y14)*1.2*0.95,1)</f>
        <v>-47654.5</v>
      </c>
      <c r="J65" s="155">
        <f>ROUND((-'VI-VII джер.кап.інв.'!AE14+'VI-VII джер.кап.інв.'!Z14)*1.2,1)</f>
        <v>-41086.1</v>
      </c>
    </row>
    <row r="66" spans="1:10" ht="18.75" customHeight="1">
      <c r="A66" s="218" t="s">
        <v>336</v>
      </c>
      <c r="B66" s="67" t="s">
        <v>484</v>
      </c>
      <c r="C66" s="155">
        <v>-19329.599999999999</v>
      </c>
      <c r="D66" s="155">
        <v>-7156.6</v>
      </c>
      <c r="E66" s="155">
        <f>-26857.9-36700</f>
        <v>-63557.9</v>
      </c>
      <c r="F66" s="154">
        <f t="shared" si="0"/>
        <v>0</v>
      </c>
      <c r="G66" s="155">
        <f>ROUND((-'VI-VII джер.кап.інв.'!R22-'VI-VII джер.кап.інв.'!W22)*1.2,1)</f>
        <v>0</v>
      </c>
      <c r="H66" s="155">
        <f>ROUND((-'VI-VII джер.кап.інв.'!S22-'VI-VII джер.кап.інв.'!X22)*1.2,1)</f>
        <v>0</v>
      </c>
      <c r="I66" s="155">
        <f>ROUND((-'VI-VII джер.кап.інв.'!T22-'VI-VII джер.кап.інв.'!Y22)*1.2,1)</f>
        <v>0</v>
      </c>
      <c r="J66" s="155">
        <f>ROUND((-'VI-VII джер.кап.інв.'!U22-'VI-VII джер.кап.інв.'!Z22)*1.2,1)</f>
        <v>0</v>
      </c>
    </row>
    <row r="67" spans="1:10" ht="18.75" customHeight="1">
      <c r="A67" s="68" t="s">
        <v>312</v>
      </c>
      <c r="B67" s="8">
        <v>3295</v>
      </c>
      <c r="C67" s="157">
        <f>SUM(C47,C55)</f>
        <v>-314653.2</v>
      </c>
      <c r="D67" s="157">
        <f t="shared" ref="D67:J67" si="5">SUM(D47,D55)</f>
        <v>-171692.2</v>
      </c>
      <c r="E67" s="157">
        <f t="shared" si="5"/>
        <v>-177841</v>
      </c>
      <c r="F67" s="154">
        <f t="shared" si="0"/>
        <v>-161811.80000000002</v>
      </c>
      <c r="G67" s="157">
        <f t="shared" si="5"/>
        <v>-22908.400000000001</v>
      </c>
      <c r="H67" s="157">
        <f t="shared" si="5"/>
        <v>-50162.8</v>
      </c>
      <c r="I67" s="157">
        <f t="shared" si="5"/>
        <v>-47654.5</v>
      </c>
      <c r="J67" s="157">
        <f t="shared" si="5"/>
        <v>-41086.1</v>
      </c>
    </row>
    <row r="68" spans="1:10" ht="20.399999999999999" customHeight="1">
      <c r="A68" s="227" t="s">
        <v>313</v>
      </c>
      <c r="B68" s="8"/>
      <c r="C68" s="347"/>
      <c r="D68" s="348"/>
      <c r="E68" s="348"/>
      <c r="F68" s="348"/>
      <c r="G68" s="348"/>
      <c r="H68" s="348"/>
      <c r="I68" s="348"/>
      <c r="J68" s="349"/>
    </row>
    <row r="69" spans="1:10" ht="18.75" customHeight="1">
      <c r="A69" s="7" t="s">
        <v>314</v>
      </c>
      <c r="B69" s="8">
        <v>3300</v>
      </c>
      <c r="C69" s="157">
        <f>SUM(C70,C71,C75)</f>
        <v>116559.2</v>
      </c>
      <c r="D69" s="157">
        <f>SUM(D70,D71,D75)</f>
        <v>110000</v>
      </c>
      <c r="E69" s="157">
        <f>SUM(E70,E71,E75)</f>
        <v>116853.9</v>
      </c>
      <c r="F69" s="154">
        <f t="shared" si="0"/>
        <v>99999.999999999985</v>
      </c>
      <c r="G69" s="157">
        <f>SUM(G70,G71,G75)</f>
        <v>7433.4</v>
      </c>
      <c r="H69" s="157">
        <f>SUM(H70,H71,H75)</f>
        <v>34687.699999999997</v>
      </c>
      <c r="I69" s="157">
        <f>SUM(I70,I71,I75)</f>
        <v>34687.699999999997</v>
      </c>
      <c r="J69" s="157">
        <f>SUM(J70,J71,J75)</f>
        <v>23191.200000000001</v>
      </c>
    </row>
    <row r="70" spans="1:10" ht="18.75" customHeight="1">
      <c r="A70" s="222" t="s">
        <v>315</v>
      </c>
      <c r="B70" s="224">
        <v>3305</v>
      </c>
      <c r="C70" s="155">
        <v>116559.2</v>
      </c>
      <c r="D70" s="155">
        <v>110000</v>
      </c>
      <c r="E70" s="155">
        <f>64276.9+52577</f>
        <v>116853.9</v>
      </c>
      <c r="F70" s="156">
        <f t="shared" si="0"/>
        <v>99999.999999999985</v>
      </c>
      <c r="G70" s="155">
        <f>ROUND('VI-VII джер.кап.інв.'!M14*1.2,1)</f>
        <v>7433.4</v>
      </c>
      <c r="H70" s="155">
        <f>ROUND('VI-VII джер.кап.інв.'!N14*1.2,1)</f>
        <v>34687.699999999997</v>
      </c>
      <c r="I70" s="155">
        <f>ROUND('VI-VII джер.кап.інв.'!O14*1.2,1)</f>
        <v>34687.699999999997</v>
      </c>
      <c r="J70" s="155">
        <f>ROUND('VI-VII джер.кап.інв.'!P14*1.2,1)</f>
        <v>23191.200000000001</v>
      </c>
    </row>
    <row r="71" spans="1:10" ht="18.75" customHeight="1">
      <c r="A71" s="222" t="s">
        <v>316</v>
      </c>
      <c r="B71" s="224">
        <v>3310</v>
      </c>
      <c r="C71" s="156">
        <f>SUM(C72:C74)</f>
        <v>0</v>
      </c>
      <c r="D71" s="156">
        <f>SUM(D72:D74)</f>
        <v>0</v>
      </c>
      <c r="E71" s="156">
        <f>SUM(E72:E74)</f>
        <v>0</v>
      </c>
      <c r="F71" s="156">
        <f t="shared" si="0"/>
        <v>0</v>
      </c>
      <c r="G71" s="156">
        <f>SUM(G72:G74)</f>
        <v>0</v>
      </c>
      <c r="H71" s="156">
        <f>SUM(H72:H74)</f>
        <v>0</v>
      </c>
      <c r="I71" s="156">
        <f>SUM(I72:I74)</f>
        <v>0</v>
      </c>
      <c r="J71" s="156">
        <f>SUM(J72:J74)</f>
        <v>0</v>
      </c>
    </row>
    <row r="72" spans="1:10" ht="18.75" customHeight="1">
      <c r="A72" s="222" t="s">
        <v>278</v>
      </c>
      <c r="B72" s="224">
        <v>3311</v>
      </c>
      <c r="C72" s="155">
        <v>0</v>
      </c>
      <c r="D72" s="155">
        <v>0</v>
      </c>
      <c r="E72" s="155">
        <v>0</v>
      </c>
      <c r="F72" s="156">
        <f t="shared" si="0"/>
        <v>0</v>
      </c>
      <c r="G72" s="155">
        <v>0</v>
      </c>
      <c r="H72" s="155">
        <v>0</v>
      </c>
      <c r="I72" s="155">
        <v>0</v>
      </c>
      <c r="J72" s="155">
        <v>0</v>
      </c>
    </row>
    <row r="73" spans="1:10" ht="18.75" customHeight="1">
      <c r="A73" s="222" t="s">
        <v>279</v>
      </c>
      <c r="B73" s="6">
        <v>3312</v>
      </c>
      <c r="C73" s="155">
        <v>0</v>
      </c>
      <c r="D73" s="155">
        <v>0</v>
      </c>
      <c r="E73" s="155">
        <v>0</v>
      </c>
      <c r="F73" s="156">
        <f t="shared" si="0"/>
        <v>0</v>
      </c>
      <c r="G73" s="155">
        <v>0</v>
      </c>
      <c r="H73" s="155"/>
      <c r="I73" s="155"/>
      <c r="J73" s="155"/>
    </row>
    <row r="74" spans="1:10" ht="18.75" customHeight="1">
      <c r="A74" s="222" t="s">
        <v>280</v>
      </c>
      <c r="B74" s="6">
        <v>3313</v>
      </c>
      <c r="C74" s="155">
        <v>0</v>
      </c>
      <c r="D74" s="155">
        <v>0</v>
      </c>
      <c r="E74" s="155">
        <v>0</v>
      </c>
      <c r="F74" s="156">
        <f t="shared" si="0"/>
        <v>0</v>
      </c>
      <c r="G74" s="155">
        <v>0</v>
      </c>
      <c r="H74" s="155"/>
      <c r="I74" s="155"/>
      <c r="J74" s="155"/>
    </row>
    <row r="75" spans="1:10" ht="18.75" customHeight="1">
      <c r="A75" s="222" t="s">
        <v>281</v>
      </c>
      <c r="B75" s="6">
        <v>3320</v>
      </c>
      <c r="C75" s="155">
        <v>0</v>
      </c>
      <c r="D75" s="155">
        <v>0</v>
      </c>
      <c r="E75" s="155">
        <v>0</v>
      </c>
      <c r="F75" s="156">
        <f t="shared" si="0"/>
        <v>0</v>
      </c>
      <c r="G75" s="155">
        <v>0</v>
      </c>
      <c r="H75" s="155"/>
      <c r="I75" s="155"/>
      <c r="J75" s="155"/>
    </row>
    <row r="76" spans="1:10" ht="18.75" customHeight="1">
      <c r="A76" s="7" t="s">
        <v>317</v>
      </c>
      <c r="B76" s="8">
        <v>3330</v>
      </c>
      <c r="C76" s="157">
        <f>SUM(C77:C78,C82:C85)</f>
        <v>-9599.2000000000007</v>
      </c>
      <c r="D76" s="157">
        <f>SUM(D77:D78,D82:D85)</f>
        <v>-20966.599999999999</v>
      </c>
      <c r="E76" s="157">
        <f>SUM(E77:E78,E82:E85)</f>
        <v>-24309.800000000003</v>
      </c>
      <c r="F76" s="154">
        <f t="shared" si="0"/>
        <v>-21492.3</v>
      </c>
      <c r="G76" s="157">
        <f>SUM(G77:G78,G82:G85)</f>
        <v>-5427.1</v>
      </c>
      <c r="H76" s="157">
        <f>SUM(H77:H78,H82:H85)</f>
        <v>-5512.2</v>
      </c>
      <c r="I76" s="157">
        <f>SUM(I77:I78,I82:I85)</f>
        <v>-5180</v>
      </c>
      <c r="J76" s="157">
        <f>SUM(J77:J78,J82:J85)</f>
        <v>-5373</v>
      </c>
    </row>
    <row r="77" spans="1:10" ht="18.75" customHeight="1">
      <c r="A77" s="222" t="s">
        <v>318</v>
      </c>
      <c r="B77" s="224">
        <v>3335</v>
      </c>
      <c r="C77" s="155">
        <v>0</v>
      </c>
      <c r="D77" s="155">
        <v>0</v>
      </c>
      <c r="E77" s="155">
        <v>0</v>
      </c>
      <c r="F77" s="156">
        <f t="shared" si="0"/>
        <v>0</v>
      </c>
      <c r="G77" s="155">
        <v>0</v>
      </c>
      <c r="H77" s="155">
        <v>0</v>
      </c>
      <c r="I77" s="155">
        <v>0</v>
      </c>
      <c r="J77" s="155">
        <v>0</v>
      </c>
    </row>
    <row r="78" spans="1:10" ht="18.75" customHeight="1">
      <c r="A78" s="222" t="s">
        <v>319</v>
      </c>
      <c r="B78" s="224">
        <v>3340</v>
      </c>
      <c r="C78" s="156">
        <f>SUM(C79:C81)</f>
        <v>-9599.2000000000007</v>
      </c>
      <c r="D78" s="156">
        <f>SUM(D79:D81)</f>
        <v>-20966.599999999999</v>
      </c>
      <c r="E78" s="156">
        <f>SUM(E79:E81)</f>
        <v>-24309.800000000003</v>
      </c>
      <c r="F78" s="156">
        <f t="shared" si="0"/>
        <v>-21492.3</v>
      </c>
      <c r="G78" s="156">
        <f>SUM(G79:G81)</f>
        <v>-5427.1</v>
      </c>
      <c r="H78" s="156">
        <f>SUM(H79:H81)</f>
        <v>-5512.2</v>
      </c>
      <c r="I78" s="156">
        <f>SUM(I79:I81)</f>
        <v>-5180</v>
      </c>
      <c r="J78" s="156">
        <f>SUM(J79:J81)</f>
        <v>-5373</v>
      </c>
    </row>
    <row r="79" spans="1:10" ht="18.75" customHeight="1">
      <c r="A79" s="222" t="s">
        <v>278</v>
      </c>
      <c r="B79" s="224">
        <v>3341</v>
      </c>
      <c r="C79" s="155">
        <v>-9599.2000000000007</v>
      </c>
      <c r="D79" s="155">
        <v>-20966.599999999999</v>
      </c>
      <c r="E79" s="155">
        <f>-18895.2-5414.6</f>
        <v>-24309.800000000003</v>
      </c>
      <c r="F79" s="156">
        <f t="shared" si="0"/>
        <v>-21492.3</v>
      </c>
      <c r="G79" s="155">
        <v>-5427.1</v>
      </c>
      <c r="H79" s="155">
        <v>-5512.2</v>
      </c>
      <c r="I79" s="155">
        <v>-5180</v>
      </c>
      <c r="J79" s="155">
        <v>-5373</v>
      </c>
    </row>
    <row r="80" spans="1:10" ht="18.75" customHeight="1">
      <c r="A80" s="222" t="s">
        <v>279</v>
      </c>
      <c r="B80" s="224">
        <v>3342</v>
      </c>
      <c r="C80" s="155">
        <v>0</v>
      </c>
      <c r="D80" s="155">
        <v>0</v>
      </c>
      <c r="E80" s="155">
        <v>0</v>
      </c>
      <c r="F80" s="156">
        <f t="shared" si="0"/>
        <v>0</v>
      </c>
      <c r="G80" s="155">
        <v>0</v>
      </c>
      <c r="H80" s="155">
        <v>0</v>
      </c>
      <c r="I80" s="155">
        <v>0</v>
      </c>
      <c r="J80" s="155">
        <v>0</v>
      </c>
    </row>
    <row r="81" spans="1:10" ht="18.75" customHeight="1">
      <c r="A81" s="222" t="s">
        <v>280</v>
      </c>
      <c r="B81" s="224">
        <v>3343</v>
      </c>
      <c r="C81" s="155">
        <v>0</v>
      </c>
      <c r="D81" s="155">
        <v>0</v>
      </c>
      <c r="E81" s="155">
        <v>0</v>
      </c>
      <c r="F81" s="156">
        <f t="shared" ref="F81:F89" si="6">SUM(G81:J81)</f>
        <v>0</v>
      </c>
      <c r="G81" s="155">
        <v>0</v>
      </c>
      <c r="H81" s="155">
        <v>0</v>
      </c>
      <c r="I81" s="155">
        <v>0</v>
      </c>
      <c r="J81" s="155">
        <v>0</v>
      </c>
    </row>
    <row r="82" spans="1:10" ht="18.75" customHeight="1">
      <c r="A82" s="222" t="s">
        <v>320</v>
      </c>
      <c r="B82" s="224">
        <v>3350</v>
      </c>
      <c r="C82" s="155">
        <v>0</v>
      </c>
      <c r="D82" s="155">
        <v>0</v>
      </c>
      <c r="E82" s="155">
        <v>0</v>
      </c>
      <c r="F82" s="156">
        <f t="shared" si="6"/>
        <v>0</v>
      </c>
      <c r="G82" s="155">
        <v>0</v>
      </c>
      <c r="H82" s="155">
        <v>0</v>
      </c>
      <c r="I82" s="155">
        <v>0</v>
      </c>
      <c r="J82" s="155">
        <v>0</v>
      </c>
    </row>
    <row r="83" spans="1:10" ht="18.75" customHeight="1">
      <c r="A83" s="222" t="s">
        <v>321</v>
      </c>
      <c r="B83" s="6">
        <v>3360</v>
      </c>
      <c r="C83" s="155">
        <v>0</v>
      </c>
      <c r="D83" s="155">
        <v>0</v>
      </c>
      <c r="E83" s="155">
        <v>0</v>
      </c>
      <c r="F83" s="156">
        <f t="shared" si="6"/>
        <v>0</v>
      </c>
      <c r="G83" s="155">
        <v>0</v>
      </c>
      <c r="H83" s="155">
        <v>0</v>
      </c>
      <c r="I83" s="155">
        <v>0</v>
      </c>
      <c r="J83" s="155">
        <v>0</v>
      </c>
    </row>
    <row r="84" spans="1:10" ht="18.75" customHeight="1">
      <c r="A84" s="222" t="s">
        <v>322</v>
      </c>
      <c r="B84" s="6">
        <v>3370</v>
      </c>
      <c r="C84" s="155">
        <v>0</v>
      </c>
      <c r="D84" s="155">
        <v>0</v>
      </c>
      <c r="E84" s="155">
        <v>0</v>
      </c>
      <c r="F84" s="156">
        <f t="shared" si="6"/>
        <v>0</v>
      </c>
      <c r="G84" s="155">
        <v>0</v>
      </c>
      <c r="H84" s="155">
        <v>0</v>
      </c>
      <c r="I84" s="155">
        <v>0</v>
      </c>
      <c r="J84" s="155">
        <v>0</v>
      </c>
    </row>
    <row r="85" spans="1:10" ht="18.75" customHeight="1">
      <c r="A85" s="222" t="s">
        <v>311</v>
      </c>
      <c r="B85" s="6">
        <v>3380</v>
      </c>
      <c r="C85" s="155">
        <v>0</v>
      </c>
      <c r="D85" s="155">
        <v>0</v>
      </c>
      <c r="E85" s="155">
        <v>0</v>
      </c>
      <c r="F85" s="156">
        <f t="shared" si="6"/>
        <v>0</v>
      </c>
      <c r="G85" s="155">
        <v>0</v>
      </c>
      <c r="H85" s="155">
        <v>0</v>
      </c>
      <c r="I85" s="155">
        <v>0</v>
      </c>
      <c r="J85" s="155">
        <v>0</v>
      </c>
    </row>
    <row r="86" spans="1:10" ht="18.75" customHeight="1">
      <c r="A86" s="7" t="s">
        <v>323</v>
      </c>
      <c r="B86" s="8">
        <v>3395</v>
      </c>
      <c r="C86" s="157">
        <f>SUM(C69,C76)</f>
        <v>106960</v>
      </c>
      <c r="D86" s="157">
        <f t="shared" ref="D86:J86" si="7">SUM(D69,D76)</f>
        <v>89033.4</v>
      </c>
      <c r="E86" s="157">
        <f>SUM(E69,E76)</f>
        <v>92544.099999999991</v>
      </c>
      <c r="F86" s="154">
        <f>SUM(G86:J86)</f>
        <v>78507.7</v>
      </c>
      <c r="G86" s="157">
        <f>SUM(G69,G76)</f>
        <v>2006.2999999999993</v>
      </c>
      <c r="H86" s="157">
        <f t="shared" si="7"/>
        <v>29175.499999999996</v>
      </c>
      <c r="I86" s="157">
        <f t="shared" si="7"/>
        <v>29507.699999999997</v>
      </c>
      <c r="J86" s="157">
        <f t="shared" si="7"/>
        <v>17818.2</v>
      </c>
    </row>
    <row r="87" spans="1:10" ht="18.75" customHeight="1">
      <c r="A87" s="7" t="s">
        <v>324</v>
      </c>
      <c r="B87" s="102">
        <v>3400</v>
      </c>
      <c r="C87" s="157">
        <f t="shared" ref="C87:J87" si="8">SUM(C45,C67,C86)</f>
        <v>-3462.1999999999534</v>
      </c>
      <c r="D87" s="157">
        <f t="shared" si="8"/>
        <v>-1089.3999999999942</v>
      </c>
      <c r="E87" s="157">
        <f t="shared" si="8"/>
        <v>-15912.80000000009</v>
      </c>
      <c r="F87" s="157">
        <f>SUM(F45,F67,F86)</f>
        <v>-69.900000000023283</v>
      </c>
      <c r="G87" s="157">
        <f t="shared" si="8"/>
        <v>-65.200000000008004</v>
      </c>
      <c r="H87" s="157">
        <f t="shared" si="8"/>
        <v>-2.6000000000240107</v>
      </c>
      <c r="I87" s="157">
        <f t="shared" si="8"/>
        <v>1.3000000000174623</v>
      </c>
      <c r="J87" s="157">
        <f t="shared" si="8"/>
        <v>-3.3999999999978172</v>
      </c>
    </row>
    <row r="88" spans="1:10" ht="18.75" customHeight="1">
      <c r="A88" s="222" t="s">
        <v>325</v>
      </c>
      <c r="B88" s="65">
        <v>3405</v>
      </c>
      <c r="C88" s="155">
        <v>19448</v>
      </c>
      <c r="D88" s="112">
        <v>1458.8</v>
      </c>
      <c r="E88" s="112">
        <v>15985.8</v>
      </c>
      <c r="F88" s="112">
        <f>G88</f>
        <v>72.999999999909051</v>
      </c>
      <c r="G88" s="112">
        <f>E90</f>
        <v>72.999999999909051</v>
      </c>
      <c r="H88" s="112">
        <f>G90</f>
        <v>7.799999999901047</v>
      </c>
      <c r="I88" s="112">
        <f>H90</f>
        <v>5.1999999998770363</v>
      </c>
      <c r="J88" s="112">
        <f>I90</f>
        <v>6.4999999998944986</v>
      </c>
    </row>
    <row r="89" spans="1:10" ht="18.75" customHeight="1">
      <c r="A89" s="24" t="s">
        <v>326</v>
      </c>
      <c r="B89" s="65">
        <v>3410</v>
      </c>
      <c r="C89" s="155">
        <v>0</v>
      </c>
      <c r="D89" s="112">
        <v>0</v>
      </c>
      <c r="E89" s="112">
        <v>0</v>
      </c>
      <c r="F89" s="156">
        <f t="shared" si="6"/>
        <v>0</v>
      </c>
      <c r="G89" s="112">
        <v>0</v>
      </c>
      <c r="H89" s="112">
        <v>0</v>
      </c>
      <c r="I89" s="112">
        <v>0</v>
      </c>
      <c r="J89" s="112">
        <v>0</v>
      </c>
    </row>
    <row r="90" spans="1:10" ht="18.75" customHeight="1">
      <c r="A90" s="222" t="s">
        <v>327</v>
      </c>
      <c r="B90" s="6">
        <v>3415</v>
      </c>
      <c r="C90" s="161">
        <f t="shared" ref="C90:J90" si="9">SUM(C88,C87,C89)</f>
        <v>15985.800000000047</v>
      </c>
      <c r="D90" s="161">
        <f t="shared" si="9"/>
        <v>369.40000000000578</v>
      </c>
      <c r="E90" s="161">
        <f t="shared" si="9"/>
        <v>72.999999999909051</v>
      </c>
      <c r="F90" s="161">
        <f t="shared" si="9"/>
        <v>3.0999999998857675</v>
      </c>
      <c r="G90" s="161">
        <f>SUM(G88,G87,G89)</f>
        <v>7.799999999901047</v>
      </c>
      <c r="H90" s="161">
        <f t="shared" si="9"/>
        <v>5.1999999998770363</v>
      </c>
      <c r="I90" s="161">
        <f t="shared" si="9"/>
        <v>6.4999999998944986</v>
      </c>
      <c r="J90" s="161">
        <f t="shared" si="9"/>
        <v>3.0999999998966814</v>
      </c>
    </row>
    <row r="91" spans="1:10" s="216" customFormat="1" ht="18.75" customHeight="1">
      <c r="A91" s="220"/>
      <c r="B91" s="191"/>
      <c r="C91" s="192"/>
      <c r="D91" s="192"/>
      <c r="E91" s="192"/>
      <c r="F91" s="192"/>
      <c r="G91" s="192"/>
      <c r="H91" s="192"/>
      <c r="I91" s="192"/>
      <c r="J91" s="192"/>
    </row>
    <row r="92" spans="1:10" s="216" customFormat="1" ht="18.75" customHeight="1">
      <c r="A92" s="220"/>
      <c r="B92" s="191"/>
      <c r="C92" s="192"/>
      <c r="D92" s="192"/>
      <c r="E92" s="192"/>
      <c r="F92" s="192"/>
      <c r="G92" s="192"/>
      <c r="H92" s="192"/>
      <c r="I92" s="192"/>
      <c r="J92" s="192"/>
    </row>
    <row r="93" spans="1:10" s="216" customFormat="1" ht="18.75" customHeight="1">
      <c r="A93" s="220"/>
      <c r="B93" s="191"/>
      <c r="C93" s="192"/>
      <c r="D93" s="192"/>
      <c r="E93" s="192"/>
      <c r="F93" s="192"/>
      <c r="G93" s="192"/>
      <c r="H93" s="192"/>
      <c r="I93" s="192"/>
      <c r="J93" s="192"/>
    </row>
    <row r="94" spans="1:10" s="216" customFormat="1" ht="18.75" customHeight="1">
      <c r="A94" s="220"/>
      <c r="B94" s="191"/>
      <c r="C94" s="192"/>
      <c r="D94" s="192"/>
      <c r="E94" s="192"/>
      <c r="F94" s="192"/>
      <c r="G94" s="192"/>
      <c r="H94" s="192"/>
      <c r="I94" s="192"/>
      <c r="J94" s="192"/>
    </row>
    <row r="95" spans="1:10" s="216" customFormat="1" ht="18.75" customHeight="1">
      <c r="A95" s="220"/>
      <c r="B95" s="191"/>
      <c r="C95" s="192"/>
      <c r="D95" s="192"/>
      <c r="E95" s="192"/>
      <c r="F95" s="192"/>
      <c r="G95" s="192"/>
      <c r="H95" s="192"/>
      <c r="I95" s="192"/>
      <c r="J95" s="192"/>
    </row>
    <row r="96" spans="1:10" ht="18.75" customHeight="1">
      <c r="A96" s="1"/>
      <c r="B96" s="69"/>
      <c r="C96" s="70"/>
      <c r="D96" s="71"/>
      <c r="E96" s="71"/>
      <c r="F96" s="72"/>
      <c r="G96" s="71"/>
      <c r="H96" s="71"/>
      <c r="I96" s="71"/>
      <c r="J96" s="71"/>
    </row>
    <row r="97" spans="1:10" ht="18.75" customHeight="1">
      <c r="A97" s="1"/>
      <c r="B97" s="69"/>
      <c r="C97" s="70"/>
      <c r="D97" s="71"/>
      <c r="E97" s="71"/>
      <c r="F97" s="72"/>
      <c r="G97" s="71"/>
      <c r="H97" s="71"/>
      <c r="I97" s="71"/>
      <c r="J97" s="71"/>
    </row>
    <row r="98" spans="1:10" ht="18.75" customHeight="1">
      <c r="A98" s="145" t="s">
        <v>536</v>
      </c>
      <c r="B98" s="147"/>
      <c r="C98" s="350" t="s">
        <v>136</v>
      </c>
      <c r="D98" s="351"/>
      <c r="E98" s="351"/>
      <c r="F98" s="351"/>
      <c r="G98" s="148"/>
      <c r="H98" s="266" t="s">
        <v>398</v>
      </c>
      <c r="I98" s="266"/>
      <c r="J98" s="266"/>
    </row>
    <row r="99" spans="1:10" ht="18.75" customHeight="1">
      <c r="A99" s="230" t="s">
        <v>137</v>
      </c>
      <c r="B99" s="2"/>
      <c r="C99" s="344" t="s">
        <v>138</v>
      </c>
      <c r="D99" s="344"/>
      <c r="E99" s="344"/>
      <c r="F99" s="344"/>
      <c r="G99" s="225"/>
      <c r="H99" s="253" t="s">
        <v>139</v>
      </c>
      <c r="I99" s="253"/>
      <c r="J99" s="253"/>
    </row>
  </sheetData>
  <mergeCells count="15">
    <mergeCell ref="C99:F99"/>
    <mergeCell ref="H99:J99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6:J46"/>
    <mergeCell ref="C68:J68"/>
    <mergeCell ref="C98:F98"/>
    <mergeCell ref="H98:J98"/>
  </mergeCells>
  <pageMargins left="1.1023622047244095" right="0.31496062992125984" top="0.78740157480314965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C304-F58D-4138-93CC-36B84408C2E0}">
  <dimension ref="A2:M41"/>
  <sheetViews>
    <sheetView topLeftCell="A31" zoomScale="70" zoomScaleNormal="70" zoomScaleSheetLayoutView="48" workbookViewId="0">
      <selection activeCell="A41" sqref="A41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239" t="s">
        <v>328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18.7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315" t="s">
        <v>329</v>
      </c>
      <c r="M3" s="315"/>
    </row>
    <row r="4" spans="1:13" ht="27.75" customHeight="1">
      <c r="A4" s="311" t="s">
        <v>20</v>
      </c>
      <c r="B4" s="312"/>
      <c r="C4" s="312"/>
      <c r="D4" s="313"/>
      <c r="E4" s="255" t="s">
        <v>21</v>
      </c>
      <c r="F4" s="255" t="s">
        <v>508</v>
      </c>
      <c r="G4" s="255" t="s">
        <v>509</v>
      </c>
      <c r="H4" s="310" t="s">
        <v>499</v>
      </c>
      <c r="I4" s="255" t="s">
        <v>511</v>
      </c>
      <c r="J4" s="255" t="s">
        <v>155</v>
      </c>
      <c r="K4" s="255"/>
      <c r="L4" s="255"/>
      <c r="M4" s="255"/>
    </row>
    <row r="5" spans="1:13" ht="64.5" customHeight="1">
      <c r="A5" s="314"/>
      <c r="B5" s="315"/>
      <c r="C5" s="315"/>
      <c r="D5" s="316"/>
      <c r="E5" s="255"/>
      <c r="F5" s="255"/>
      <c r="G5" s="255"/>
      <c r="H5" s="310"/>
      <c r="I5" s="255"/>
      <c r="J5" s="122" t="s">
        <v>157</v>
      </c>
      <c r="K5" s="122" t="s">
        <v>158</v>
      </c>
      <c r="L5" s="122" t="s">
        <v>159</v>
      </c>
      <c r="M5" s="122" t="s">
        <v>160</v>
      </c>
    </row>
    <row r="6" spans="1:13" s="58" customFormat="1" ht="18.75" customHeight="1">
      <c r="A6" s="280">
        <v>1</v>
      </c>
      <c r="B6" s="281"/>
      <c r="C6" s="281"/>
      <c r="D6" s="282"/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</row>
    <row r="7" spans="1:13" ht="44.25" customHeight="1">
      <c r="A7" s="333" t="s">
        <v>330</v>
      </c>
      <c r="B7" s="334"/>
      <c r="C7" s="334"/>
      <c r="D7" s="335"/>
      <c r="E7" s="59">
        <v>4000</v>
      </c>
      <c r="F7" s="157">
        <f>SUM(F8:F13)</f>
        <v>258384.09999999998</v>
      </c>
      <c r="G7" s="157">
        <f>SUM(G8:G13)</f>
        <v>183539.80000000002</v>
      </c>
      <c r="H7" s="157">
        <f>SUM(H8:H13)</f>
        <v>179216.40000000002</v>
      </c>
      <c r="I7" s="154">
        <f t="shared" ref="I7:I13" si="0">SUM(J7:M7)</f>
        <v>136933.20000000001</v>
      </c>
      <c r="J7" s="157">
        <f>SUM(J8:J13)</f>
        <v>19090.3</v>
      </c>
      <c r="K7" s="157">
        <f>SUM(K8:K13)</f>
        <v>41802.300000000003</v>
      </c>
      <c r="L7" s="157">
        <f>SUM(L8:L13)</f>
        <v>41802.199999999997</v>
      </c>
      <c r="M7" s="157">
        <f>SUM(M8:M13)</f>
        <v>34238.400000000001</v>
      </c>
    </row>
    <row r="8" spans="1:13" ht="18.75" customHeight="1">
      <c r="A8" s="327" t="s">
        <v>331</v>
      </c>
      <c r="B8" s="328"/>
      <c r="C8" s="328"/>
      <c r="D8" s="329"/>
      <c r="E8" s="56" t="s">
        <v>332</v>
      </c>
      <c r="F8" s="155">
        <v>23722.3</v>
      </c>
      <c r="G8" s="155"/>
      <c r="H8" s="155">
        <f>13289.1+336.2</f>
        <v>13625.300000000001</v>
      </c>
      <c r="I8" s="156">
        <f t="shared" si="0"/>
        <v>0</v>
      </c>
      <c r="J8" s="155">
        <f>'VI-VII джер.кап.інв.'!AB10</f>
        <v>0</v>
      </c>
      <c r="K8" s="155">
        <f>'VI-VII джер.кап.інв.'!AC10</f>
        <v>0</v>
      </c>
      <c r="L8" s="155">
        <f>'VI-VII джер.кап.інв.'!AD10</f>
        <v>0</v>
      </c>
      <c r="M8" s="155">
        <f>'VI-VII джер.кап.інв.'!AE10</f>
        <v>0</v>
      </c>
    </row>
    <row r="9" spans="1:13" ht="18.75" customHeight="1">
      <c r="A9" s="327" t="s">
        <v>333</v>
      </c>
      <c r="B9" s="328"/>
      <c r="C9" s="328"/>
      <c r="D9" s="329"/>
      <c r="E9" s="55">
        <v>4020</v>
      </c>
      <c r="F9" s="155">
        <v>9595.4</v>
      </c>
      <c r="G9" s="155"/>
      <c r="H9" s="155">
        <f>10430.5</f>
        <v>10430.5</v>
      </c>
      <c r="I9" s="156">
        <f t="shared" si="0"/>
        <v>0</v>
      </c>
      <c r="J9" s="155">
        <f>'VI-VII джер.кап.інв.'!AB11</f>
        <v>0</v>
      </c>
      <c r="K9" s="155">
        <f>'VI-VII джер.кап.інв.'!AC11</f>
        <v>0</v>
      </c>
      <c r="L9" s="155">
        <f>'VI-VII джер.кап.інв.'!AD11</f>
        <v>0</v>
      </c>
      <c r="M9" s="155">
        <f>'VI-VII джер.кап.інв.'!AE11</f>
        <v>0</v>
      </c>
    </row>
    <row r="10" spans="1:13" ht="18.75" customHeight="1">
      <c r="A10" s="327" t="s">
        <v>334</v>
      </c>
      <c r="B10" s="328"/>
      <c r="C10" s="328"/>
      <c r="D10" s="329"/>
      <c r="E10" s="56">
        <v>4030</v>
      </c>
      <c r="F10" s="155">
        <v>0</v>
      </c>
      <c r="G10" s="155"/>
      <c r="H10" s="155">
        <v>0</v>
      </c>
      <c r="I10" s="156">
        <f t="shared" si="0"/>
        <v>0</v>
      </c>
      <c r="J10" s="155">
        <f>'VI-VII джер.кап.інв.'!AB12</f>
        <v>0</v>
      </c>
      <c r="K10" s="155">
        <f>'VI-VII джер.кап.інв.'!AC12</f>
        <v>0</v>
      </c>
      <c r="L10" s="155">
        <f>'VI-VII джер.кап.інв.'!AD12</f>
        <v>0</v>
      </c>
      <c r="M10" s="155">
        <f>'VI-VII джер.кап.інв.'!AE12</f>
        <v>0</v>
      </c>
    </row>
    <row r="11" spans="1:13" ht="18.75" customHeight="1">
      <c r="A11" s="327" t="s">
        <v>335</v>
      </c>
      <c r="B11" s="328"/>
      <c r="C11" s="328"/>
      <c r="D11" s="329"/>
      <c r="E11" s="55">
        <v>4040</v>
      </c>
      <c r="F11" s="155">
        <v>1466</v>
      </c>
      <c r="G11" s="155"/>
      <c r="H11" s="155">
        <f>2153</f>
        <v>2153</v>
      </c>
      <c r="I11" s="156">
        <f t="shared" si="0"/>
        <v>0</v>
      </c>
      <c r="J11" s="155">
        <f>'VI-VII джер.кап.інв.'!AB13</f>
        <v>0</v>
      </c>
      <c r="K11" s="155">
        <f>'VI-VII джер.кап.інв.'!AC13</f>
        <v>0</v>
      </c>
      <c r="L11" s="155">
        <f>'VI-VII джер.кап.інв.'!AD13</f>
        <v>0</v>
      </c>
      <c r="M11" s="155">
        <f>'VI-VII джер.кап.інв.'!AE13</f>
        <v>0</v>
      </c>
    </row>
    <row r="12" spans="1:13" ht="22.2" customHeight="1">
      <c r="A12" s="327" t="s">
        <v>482</v>
      </c>
      <c r="B12" s="328"/>
      <c r="C12" s="328"/>
      <c r="D12" s="329"/>
      <c r="E12" s="56">
        <v>4050</v>
      </c>
      <c r="F12" s="155">
        <v>205908.6</v>
      </c>
      <c r="G12" s="155">
        <v>177576.1</v>
      </c>
      <c r="H12" s="155">
        <f>75740.5+13230.8</f>
        <v>88971.3</v>
      </c>
      <c r="I12" s="156">
        <f t="shared" si="0"/>
        <v>136933.20000000001</v>
      </c>
      <c r="J12" s="155">
        <f>'VI-VII джер.кап.інв.'!AB14</f>
        <v>19090.3</v>
      </c>
      <c r="K12" s="155">
        <f>'VI-VII джер.кап.інв.'!AC14</f>
        <v>41802.300000000003</v>
      </c>
      <c r="L12" s="155">
        <f>'VI-VII джер.кап.інв.'!AD14</f>
        <v>41802.199999999997</v>
      </c>
      <c r="M12" s="155">
        <f>'VI-VII джер.кап.інв.'!AE14</f>
        <v>34238.400000000001</v>
      </c>
    </row>
    <row r="13" spans="1:13" ht="18.75" customHeight="1">
      <c r="A13" s="327" t="s">
        <v>336</v>
      </c>
      <c r="B13" s="328"/>
      <c r="C13" s="328"/>
      <c r="D13" s="329"/>
      <c r="E13" s="57">
        <v>4060</v>
      </c>
      <c r="F13" s="155">
        <v>17691.8</v>
      </c>
      <c r="G13" s="155">
        <v>5963.7</v>
      </c>
      <c r="H13" s="155">
        <f>33453+30583.3</f>
        <v>64036.3</v>
      </c>
      <c r="I13" s="156">
        <f t="shared" si="0"/>
        <v>0</v>
      </c>
      <c r="J13" s="155">
        <f>'VI-VII джер.кап.інв.'!AB22</f>
        <v>0</v>
      </c>
      <c r="K13" s="155">
        <f>'VI-VII джер.кап.інв.'!AC22</f>
        <v>0</v>
      </c>
      <c r="L13" s="155">
        <f>'VI-VII джер.кап.інв.'!AD22</f>
        <v>0</v>
      </c>
      <c r="M13" s="155">
        <f>'VI-VII джер.кап.інв.'!AE22</f>
        <v>0</v>
      </c>
    </row>
    <row r="14" spans="1:13" ht="15" customHeight="1">
      <c r="A14" s="52"/>
      <c r="B14" s="52"/>
      <c r="C14" s="52"/>
      <c r="D14" s="52"/>
      <c r="E14" s="51"/>
      <c r="F14" s="53"/>
      <c r="G14" s="54"/>
      <c r="H14" s="54"/>
      <c r="I14" s="53"/>
      <c r="J14" s="54"/>
      <c r="K14" s="54"/>
      <c r="L14" s="54"/>
      <c r="M14" s="54"/>
    </row>
    <row r="15" spans="1:13" ht="15" customHeight="1">
      <c r="A15" s="52"/>
      <c r="B15" s="52"/>
      <c r="C15" s="52"/>
      <c r="D15" s="52"/>
      <c r="E15" s="51"/>
      <c r="F15" s="53"/>
      <c r="G15" s="54"/>
      <c r="H15" s="54"/>
      <c r="I15" s="53"/>
      <c r="J15" s="54"/>
      <c r="K15" s="54"/>
      <c r="L15" s="54"/>
      <c r="M15" s="54"/>
    </row>
    <row r="16" spans="1:13" ht="15" customHeight="1">
      <c r="A16" s="52"/>
      <c r="B16" s="52"/>
      <c r="C16" s="52"/>
      <c r="D16" s="52"/>
      <c r="E16" s="51"/>
      <c r="F16" s="53"/>
      <c r="G16" s="54"/>
      <c r="H16" s="54"/>
      <c r="I16" s="53"/>
      <c r="J16" s="54"/>
      <c r="K16" s="54"/>
      <c r="L16" s="54"/>
      <c r="M16" s="54"/>
    </row>
    <row r="17" spans="1:13" ht="15" customHeight="1">
      <c r="A17" s="352" t="s">
        <v>537</v>
      </c>
      <c r="B17" s="352"/>
      <c r="C17" s="254" t="s">
        <v>136</v>
      </c>
      <c r="D17" s="254"/>
      <c r="E17" s="254"/>
      <c r="F17" s="254"/>
      <c r="G17" s="254"/>
      <c r="H17" s="254"/>
      <c r="I17" s="254"/>
      <c r="J17" s="140"/>
      <c r="K17" s="266" t="s">
        <v>398</v>
      </c>
      <c r="L17" s="266"/>
      <c r="M17" s="266"/>
    </row>
    <row r="18" spans="1:13" ht="17.399999999999999" customHeight="1">
      <c r="A18" s="124" t="s">
        <v>265</v>
      </c>
      <c r="B18" s="21"/>
      <c r="C18" s="252" t="s">
        <v>337</v>
      </c>
      <c r="D18" s="252"/>
      <c r="E18" s="252"/>
      <c r="F18" s="252"/>
      <c r="G18" s="252"/>
      <c r="H18" s="252"/>
      <c r="I18" s="252"/>
      <c r="J18" s="81"/>
      <c r="K18" s="253" t="s">
        <v>139</v>
      </c>
      <c r="L18" s="253"/>
      <c r="M18" s="253"/>
    </row>
    <row r="19" spans="1:13" ht="15" customHeight="1">
      <c r="A19" s="52"/>
      <c r="B19" s="52"/>
      <c r="C19" s="52"/>
      <c r="D19" s="52"/>
      <c r="E19" s="51"/>
      <c r="F19" s="53"/>
      <c r="G19" s="54"/>
      <c r="H19" s="54"/>
      <c r="I19" s="53"/>
      <c r="J19" s="54"/>
      <c r="K19" s="54"/>
      <c r="L19" s="54"/>
      <c r="M19" s="54"/>
    </row>
    <row r="20" spans="1:13" ht="15" customHeight="1">
      <c r="A20" s="52"/>
      <c r="B20" s="52"/>
      <c r="C20" s="52"/>
      <c r="D20" s="52"/>
      <c r="E20" s="51"/>
      <c r="F20" s="53"/>
      <c r="G20" s="54"/>
      <c r="H20" s="54"/>
      <c r="I20" s="53"/>
      <c r="J20" s="54"/>
      <c r="K20" s="54"/>
      <c r="L20" s="54"/>
      <c r="M20" s="54"/>
    </row>
    <row r="21" spans="1:13" ht="15" customHeight="1">
      <c r="A21" s="21"/>
      <c r="B21" s="21"/>
      <c r="C21" s="21"/>
      <c r="D21" s="21"/>
      <c r="E21" s="2"/>
      <c r="F21" s="21"/>
      <c r="G21" s="21"/>
      <c r="H21" s="21"/>
      <c r="I21" s="21"/>
      <c r="J21" s="13"/>
      <c r="K21" s="3"/>
      <c r="L21" s="3"/>
      <c r="M21" s="3"/>
    </row>
    <row r="22" spans="1:13" ht="20.25" customHeight="1">
      <c r="A22" s="360" t="s">
        <v>338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</row>
    <row r="23" spans="1:13" ht="20.25" customHeight="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ht="50.25" customHeight="1">
      <c r="A24" s="345" t="s">
        <v>339</v>
      </c>
      <c r="B24" s="355" t="s">
        <v>514</v>
      </c>
      <c r="C24" s="358"/>
      <c r="D24" s="356"/>
      <c r="E24" s="353" t="s">
        <v>340</v>
      </c>
      <c r="F24" s="355" t="s">
        <v>341</v>
      </c>
      <c r="G24" s="358"/>
      <c r="H24" s="358"/>
      <c r="I24" s="358"/>
      <c r="J24" s="356"/>
      <c r="K24" s="359" t="s">
        <v>515</v>
      </c>
      <c r="L24" s="359"/>
      <c r="M24" s="359"/>
    </row>
    <row r="25" spans="1:13" ht="30" customHeight="1">
      <c r="A25" s="361"/>
      <c r="B25" s="353" t="s">
        <v>153</v>
      </c>
      <c r="C25" s="355" t="s">
        <v>342</v>
      </c>
      <c r="D25" s="356"/>
      <c r="E25" s="357"/>
      <c r="F25" s="353" t="s">
        <v>343</v>
      </c>
      <c r="G25" s="353" t="s">
        <v>344</v>
      </c>
      <c r="H25" s="353" t="s">
        <v>345</v>
      </c>
      <c r="I25" s="353" t="s">
        <v>346</v>
      </c>
      <c r="J25" s="353" t="s">
        <v>347</v>
      </c>
      <c r="K25" s="353" t="s">
        <v>153</v>
      </c>
      <c r="L25" s="355" t="s">
        <v>342</v>
      </c>
      <c r="M25" s="356"/>
    </row>
    <row r="26" spans="1:13" ht="106.5" customHeight="1">
      <c r="A26" s="346"/>
      <c r="B26" s="354"/>
      <c r="C26" s="127" t="s">
        <v>343</v>
      </c>
      <c r="D26" s="127" t="s">
        <v>348</v>
      </c>
      <c r="E26" s="354"/>
      <c r="F26" s="354"/>
      <c r="G26" s="354"/>
      <c r="H26" s="354"/>
      <c r="I26" s="354"/>
      <c r="J26" s="354"/>
      <c r="K26" s="354"/>
      <c r="L26" s="127" t="s">
        <v>343</v>
      </c>
      <c r="M26" s="127" t="s">
        <v>348</v>
      </c>
    </row>
    <row r="27" spans="1:13" ht="18.75" customHeight="1">
      <c r="A27" s="121">
        <v>1</v>
      </c>
      <c r="B27" s="127">
        <v>2</v>
      </c>
      <c r="C27" s="127">
        <v>3</v>
      </c>
      <c r="D27" s="127">
        <v>4</v>
      </c>
      <c r="E27" s="127">
        <v>5</v>
      </c>
      <c r="F27" s="127">
        <v>6</v>
      </c>
      <c r="G27" s="127">
        <v>7</v>
      </c>
      <c r="H27" s="127">
        <v>8</v>
      </c>
      <c r="I27" s="127">
        <v>9</v>
      </c>
      <c r="J27" s="127">
        <v>10</v>
      </c>
      <c r="K27" s="127">
        <v>11</v>
      </c>
      <c r="L27" s="127">
        <v>12</v>
      </c>
      <c r="M27" s="127">
        <v>13</v>
      </c>
    </row>
    <row r="28" spans="1:13" ht="42.75" customHeight="1">
      <c r="A28" s="123" t="s">
        <v>349</v>
      </c>
      <c r="B28" s="157">
        <f>SUM(C28,D28)</f>
        <v>630877.25</v>
      </c>
      <c r="C28" s="162">
        <f>C29</f>
        <v>515533.44999999995</v>
      </c>
      <c r="D28" s="162">
        <f>D29</f>
        <v>115343.8</v>
      </c>
      <c r="E28" s="162">
        <f t="shared" ref="E28:J28" si="1">E29</f>
        <v>0</v>
      </c>
      <c r="F28" s="162">
        <f t="shared" si="1"/>
        <v>-21492.3</v>
      </c>
      <c r="G28" s="162">
        <f t="shared" si="1"/>
        <v>25519.4</v>
      </c>
      <c r="H28" s="162">
        <f t="shared" si="1"/>
        <v>0</v>
      </c>
      <c r="I28" s="162">
        <f t="shared" si="1"/>
        <v>0</v>
      </c>
      <c r="J28" s="162">
        <f t="shared" si="1"/>
        <v>0</v>
      </c>
      <c r="K28" s="157">
        <f>SUM(L28,M28)</f>
        <v>677888.95</v>
      </c>
      <c r="L28" s="157">
        <f>C28-F28</f>
        <v>537025.75</v>
      </c>
      <c r="M28" s="157">
        <f>SUM(D28,G28,H28,J28)</f>
        <v>140863.20000000001</v>
      </c>
    </row>
    <row r="29" spans="1:13" ht="18.75" customHeight="1">
      <c r="A29" s="15" t="s">
        <v>485</v>
      </c>
      <c r="B29" s="154">
        <f t="shared" ref="B29:B36" si="2">SUM(C29,D29)</f>
        <v>630877.25</v>
      </c>
      <c r="C29" s="155">
        <f>ROUND(((7983306.8+3374994)/1000*45.7),2)-3540.9</f>
        <v>515533.44999999995</v>
      </c>
      <c r="D29" s="155">
        <f>ROUND(((1767668.05+5350.45+748626.32+2288.95)*45.7)/1000,1)</f>
        <v>115343.8</v>
      </c>
      <c r="E29" s="155">
        <v>0</v>
      </c>
      <c r="F29" s="155">
        <f>'ІІІ рух. гр. кшт.'!F79</f>
        <v>-21492.3</v>
      </c>
      <c r="G29" s="164">
        <f>-'I. Інф. до фін.плану'!F113</f>
        <v>25519.4</v>
      </c>
      <c r="H29" s="155">
        <f>-'ІІІ рух. гр. кшт.'!F83</f>
        <v>0</v>
      </c>
      <c r="I29" s="164">
        <v>0</v>
      </c>
      <c r="J29" s="155">
        <v>0</v>
      </c>
      <c r="K29" s="156">
        <f>SUM(L29,M29)</f>
        <v>634904.35</v>
      </c>
      <c r="L29" s="156">
        <f>C29+F29</f>
        <v>494041.14999999997</v>
      </c>
      <c r="M29" s="156">
        <f>SUM(D29,G29,H29,J29)</f>
        <v>140863.20000000001</v>
      </c>
    </row>
    <row r="30" spans="1:13" ht="18.75" customHeight="1">
      <c r="A30" s="15"/>
      <c r="B30" s="154">
        <f t="shared" si="2"/>
        <v>0</v>
      </c>
      <c r="C30" s="113"/>
      <c r="D30" s="113"/>
      <c r="E30" s="113"/>
      <c r="F30" s="155" t="s">
        <v>162</v>
      </c>
      <c r="G30" s="165"/>
      <c r="H30" s="155" t="s">
        <v>162</v>
      </c>
      <c r="I30" s="165"/>
      <c r="J30" s="155"/>
      <c r="K30" s="156">
        <f t="shared" ref="K30:K36" si="3">SUM(L30,M30)</f>
        <v>0</v>
      </c>
      <c r="L30" s="156">
        <f t="shared" ref="L30:L36" si="4">SUM(C30,E30,F30,I30)</f>
        <v>0</v>
      </c>
      <c r="M30" s="156">
        <f t="shared" ref="M30:M36" si="5">SUM(D30,G30,H30,J30)</f>
        <v>0</v>
      </c>
    </row>
    <row r="31" spans="1:13" ht="43.5" customHeight="1">
      <c r="A31" s="123" t="s">
        <v>350</v>
      </c>
      <c r="B31" s="161">
        <f t="shared" si="2"/>
        <v>0</v>
      </c>
      <c r="C31" s="162"/>
      <c r="D31" s="162"/>
      <c r="E31" s="162"/>
      <c r="F31" s="153" t="s">
        <v>162</v>
      </c>
      <c r="G31" s="163"/>
      <c r="H31" s="153" t="s">
        <v>162</v>
      </c>
      <c r="I31" s="163"/>
      <c r="J31" s="153"/>
      <c r="K31" s="157">
        <f t="shared" si="3"/>
        <v>0</v>
      </c>
      <c r="L31" s="157">
        <f t="shared" si="4"/>
        <v>0</v>
      </c>
      <c r="M31" s="157">
        <f t="shared" si="5"/>
        <v>0</v>
      </c>
    </row>
    <row r="32" spans="1:13" ht="18.75" customHeight="1">
      <c r="A32" s="15"/>
      <c r="B32" s="154">
        <f t="shared" si="2"/>
        <v>0</v>
      </c>
      <c r="C32" s="113"/>
      <c r="D32" s="113"/>
      <c r="E32" s="113"/>
      <c r="F32" s="155" t="s">
        <v>162</v>
      </c>
      <c r="G32" s="165"/>
      <c r="H32" s="155" t="s">
        <v>162</v>
      </c>
      <c r="I32" s="165"/>
      <c r="J32" s="155"/>
      <c r="K32" s="156">
        <f t="shared" si="3"/>
        <v>0</v>
      </c>
      <c r="L32" s="156">
        <f t="shared" si="4"/>
        <v>0</v>
      </c>
      <c r="M32" s="156">
        <f t="shared" si="5"/>
        <v>0</v>
      </c>
    </row>
    <row r="33" spans="1:13" ht="18.75" customHeight="1">
      <c r="A33" s="15"/>
      <c r="B33" s="154">
        <f t="shared" si="2"/>
        <v>0</v>
      </c>
      <c r="C33" s="113"/>
      <c r="D33" s="113"/>
      <c r="E33" s="113"/>
      <c r="F33" s="155" t="s">
        <v>162</v>
      </c>
      <c r="G33" s="165"/>
      <c r="H33" s="155" t="s">
        <v>162</v>
      </c>
      <c r="I33" s="165"/>
      <c r="J33" s="155"/>
      <c r="K33" s="156">
        <f t="shared" si="3"/>
        <v>0</v>
      </c>
      <c r="L33" s="156">
        <f t="shared" si="4"/>
        <v>0</v>
      </c>
      <c r="M33" s="156">
        <f t="shared" si="5"/>
        <v>0</v>
      </c>
    </row>
    <row r="34" spans="1:13" ht="42" customHeight="1">
      <c r="A34" s="123" t="s">
        <v>351</v>
      </c>
      <c r="B34" s="157">
        <f t="shared" si="2"/>
        <v>0</v>
      </c>
      <c r="C34" s="162"/>
      <c r="D34" s="162"/>
      <c r="E34" s="162"/>
      <c r="F34" s="153" t="s">
        <v>162</v>
      </c>
      <c r="G34" s="163"/>
      <c r="H34" s="153" t="s">
        <v>162</v>
      </c>
      <c r="I34" s="163"/>
      <c r="J34" s="153"/>
      <c r="K34" s="157">
        <f t="shared" si="3"/>
        <v>0</v>
      </c>
      <c r="L34" s="157">
        <f t="shared" si="4"/>
        <v>0</v>
      </c>
      <c r="M34" s="157">
        <f t="shared" si="5"/>
        <v>0</v>
      </c>
    </row>
    <row r="35" spans="1:13" ht="18.75" customHeight="1">
      <c r="A35" s="15"/>
      <c r="B35" s="154">
        <f t="shared" si="2"/>
        <v>0</v>
      </c>
      <c r="C35" s="113"/>
      <c r="D35" s="113"/>
      <c r="E35" s="113"/>
      <c r="F35" s="155" t="s">
        <v>162</v>
      </c>
      <c r="G35" s="165"/>
      <c r="H35" s="155" t="s">
        <v>162</v>
      </c>
      <c r="I35" s="165"/>
      <c r="J35" s="155"/>
      <c r="K35" s="156">
        <f t="shared" si="3"/>
        <v>0</v>
      </c>
      <c r="L35" s="156">
        <f t="shared" si="4"/>
        <v>0</v>
      </c>
      <c r="M35" s="156">
        <f t="shared" si="5"/>
        <v>0</v>
      </c>
    </row>
    <row r="36" spans="1:13" ht="18.75" customHeight="1">
      <c r="A36" s="15"/>
      <c r="B36" s="154">
        <f t="shared" si="2"/>
        <v>0</v>
      </c>
      <c r="C36" s="113"/>
      <c r="D36" s="113"/>
      <c r="E36" s="113"/>
      <c r="F36" s="155" t="s">
        <v>162</v>
      </c>
      <c r="G36" s="165"/>
      <c r="H36" s="155" t="s">
        <v>162</v>
      </c>
      <c r="I36" s="165"/>
      <c r="J36" s="155"/>
      <c r="K36" s="156">
        <f t="shared" si="3"/>
        <v>0</v>
      </c>
      <c r="L36" s="156">
        <f t="shared" si="4"/>
        <v>0</v>
      </c>
      <c r="M36" s="156">
        <f t="shared" si="5"/>
        <v>0</v>
      </c>
    </row>
    <row r="37" spans="1:13" ht="25.5" customHeight="1">
      <c r="A37" s="123" t="s">
        <v>153</v>
      </c>
      <c r="B37" s="157">
        <f>SUM(B28,B31,B34)</f>
        <v>630877.25</v>
      </c>
      <c r="C37" s="157">
        <f t="shared" ref="C37:M37" si="6">SUM(C28,C31,C34)</f>
        <v>515533.44999999995</v>
      </c>
      <c r="D37" s="157">
        <f t="shared" si="6"/>
        <v>115343.8</v>
      </c>
      <c r="E37" s="157">
        <f t="shared" si="6"/>
        <v>0</v>
      </c>
      <c r="F37" s="157">
        <f t="shared" si="6"/>
        <v>-21492.3</v>
      </c>
      <c r="G37" s="157">
        <f t="shared" si="6"/>
        <v>25519.4</v>
      </c>
      <c r="H37" s="157">
        <f t="shared" si="6"/>
        <v>0</v>
      </c>
      <c r="I37" s="157">
        <f t="shared" si="6"/>
        <v>0</v>
      </c>
      <c r="J37" s="157">
        <f t="shared" si="6"/>
        <v>0</v>
      </c>
      <c r="K37" s="157">
        <f t="shared" si="6"/>
        <v>677888.95</v>
      </c>
      <c r="L37" s="157">
        <f t="shared" si="6"/>
        <v>537025.75</v>
      </c>
      <c r="M37" s="157">
        <f t="shared" si="6"/>
        <v>140863.20000000001</v>
      </c>
    </row>
    <row r="38" spans="1:13" ht="18.75" customHeight="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ht="18.75" customHeight="1">
      <c r="A39" s="52"/>
      <c r="B39" s="52"/>
      <c r="C39" s="52"/>
      <c r="D39" s="52"/>
      <c r="E39" s="51"/>
      <c r="F39" s="53"/>
      <c r="G39" s="54"/>
      <c r="H39" s="54"/>
      <c r="I39" s="53"/>
      <c r="J39" s="54"/>
      <c r="K39" s="54"/>
      <c r="L39" s="54"/>
      <c r="M39" s="54"/>
    </row>
    <row r="40" spans="1:13" ht="18.75" customHeight="1">
      <c r="A40" s="352" t="s">
        <v>537</v>
      </c>
      <c r="B40" s="352"/>
      <c r="C40" s="254" t="s">
        <v>136</v>
      </c>
      <c r="D40" s="254"/>
      <c r="E40" s="254"/>
      <c r="F40" s="254"/>
      <c r="G40" s="254"/>
      <c r="H40" s="254"/>
      <c r="I40" s="254"/>
      <c r="J40" s="140"/>
      <c r="K40" s="266" t="s">
        <v>398</v>
      </c>
      <c r="L40" s="266"/>
      <c r="M40" s="266"/>
    </row>
    <row r="41" spans="1:13" ht="20.25" customHeight="1">
      <c r="A41" s="124" t="s">
        <v>265</v>
      </c>
      <c r="B41" s="21"/>
      <c r="C41" s="252" t="s">
        <v>337</v>
      </c>
      <c r="D41" s="252"/>
      <c r="E41" s="252"/>
      <c r="F41" s="252"/>
      <c r="G41" s="252"/>
      <c r="H41" s="252"/>
      <c r="I41" s="252"/>
      <c r="J41" s="81"/>
      <c r="K41" s="253" t="s">
        <v>139</v>
      </c>
      <c r="L41" s="253"/>
      <c r="M41" s="253"/>
    </row>
  </sheetData>
  <mergeCells count="42">
    <mergeCell ref="C40:I40"/>
    <mergeCell ref="C41:I41"/>
    <mergeCell ref="A40:B40"/>
    <mergeCell ref="K41:M41"/>
    <mergeCell ref="F4:F5"/>
    <mergeCell ref="A12:D12"/>
    <mergeCell ref="A13:D13"/>
    <mergeCell ref="A22:M22"/>
    <mergeCell ref="A24:A26"/>
    <mergeCell ref="B24:D24"/>
    <mergeCell ref="A6:D6"/>
    <mergeCell ref="A9:D9"/>
    <mergeCell ref="A10:D10"/>
    <mergeCell ref="A11:D11"/>
    <mergeCell ref="K40:M40"/>
    <mergeCell ref="B25:B26"/>
    <mergeCell ref="A17:B17"/>
    <mergeCell ref="C17:I17"/>
    <mergeCell ref="C18:I18"/>
    <mergeCell ref="K25:K26"/>
    <mergeCell ref="K18:M1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K17:M17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53EC-11FB-4AAC-BA66-63E26226E371}">
  <dimension ref="A2:AE40"/>
  <sheetViews>
    <sheetView topLeftCell="A22" zoomScale="70" zoomScaleNormal="70" zoomScaleSheetLayoutView="50" workbookViewId="0">
      <selection activeCell="A39" sqref="A39:D39"/>
    </sheetView>
  </sheetViews>
  <sheetFormatPr defaultRowHeight="13.2"/>
  <cols>
    <col min="1" max="1" width="6.109375" style="77" customWidth="1"/>
    <col min="2" max="2" width="31.33203125" style="77" customWidth="1"/>
    <col min="3" max="3" width="6.88671875" style="77" customWidth="1"/>
    <col min="4" max="4" width="8.5546875" style="77" customWidth="1"/>
    <col min="5" max="5" width="6.77734375" style="77" customWidth="1"/>
    <col min="6" max="6" width="10.33203125" style="77" customWidth="1"/>
    <col min="7" max="7" width="6.21875" style="77" customWidth="1"/>
    <col min="8" max="8" width="6.44140625" style="77" customWidth="1"/>
    <col min="9" max="9" width="5" style="77" customWidth="1"/>
    <col min="10" max="10" width="5.88671875" style="77" customWidth="1"/>
    <col min="11" max="11" width="5" style="77" customWidth="1"/>
    <col min="12" max="12" width="12.88671875" style="77" customWidth="1"/>
    <col min="13" max="13" width="11.5546875" style="77" customWidth="1"/>
    <col min="14" max="14" width="13" style="77" customWidth="1"/>
    <col min="15" max="15" width="13.21875" style="77" customWidth="1"/>
    <col min="16" max="16" width="12.88671875" style="77" customWidth="1"/>
    <col min="17" max="17" width="12" style="77" customWidth="1"/>
    <col min="18" max="18" width="11.44140625" style="77" customWidth="1"/>
    <col min="19" max="19" width="11.77734375" style="77" customWidth="1"/>
    <col min="20" max="20" width="12.21875" style="77" customWidth="1"/>
    <col min="21" max="21" width="11.77734375" style="77" customWidth="1"/>
    <col min="22" max="22" width="11.44140625" style="77" customWidth="1"/>
    <col min="23" max="23" width="11.88671875" style="77" customWidth="1"/>
    <col min="24" max="24" width="11.109375" style="77" customWidth="1"/>
    <col min="25" max="26" width="11.77734375" style="77" customWidth="1"/>
    <col min="27" max="27" width="13.44140625" style="77" customWidth="1"/>
    <col min="28" max="28" width="12.21875" style="77" bestFit="1" customWidth="1"/>
    <col min="29" max="29" width="13.109375" style="77" customWidth="1"/>
    <col min="30" max="30" width="12.6640625" style="77" customWidth="1"/>
    <col min="31" max="31" width="12.88671875" style="77" customWidth="1"/>
    <col min="32" max="16384" width="8.88671875" style="77"/>
  </cols>
  <sheetData>
    <row r="2" spans="1:31" ht="18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1"/>
      <c r="Q2" s="73"/>
      <c r="R2" s="73"/>
      <c r="S2" s="73"/>
      <c r="T2" s="73"/>
      <c r="U2" s="73"/>
      <c r="V2" s="1"/>
      <c r="W2" s="1"/>
      <c r="X2" s="1"/>
      <c r="Y2" s="1"/>
      <c r="Z2" s="1"/>
      <c r="AA2" s="1"/>
      <c r="AB2" s="1"/>
      <c r="AC2" s="1"/>
      <c r="AD2" s="1"/>
      <c r="AE2" s="73"/>
    </row>
    <row r="3" spans="1:31" ht="17.399999999999999">
      <c r="A3" s="239" t="s">
        <v>352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1:31" ht="17.399999999999999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</row>
    <row r="5" spans="1:31" ht="18">
      <c r="A5" s="74"/>
      <c r="B5" s="74"/>
      <c r="C5" s="74"/>
      <c r="D5" s="74"/>
      <c r="E5" s="74"/>
      <c r="F5" s="74"/>
      <c r="G5" s="74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74"/>
      <c r="W5" s="1"/>
      <c r="X5" s="1"/>
      <c r="Y5" s="1"/>
      <c r="Z5" s="1"/>
      <c r="AA5" s="1"/>
      <c r="AB5" s="1"/>
      <c r="AC5" s="1"/>
      <c r="AD5" s="1"/>
      <c r="AE5" s="75" t="s">
        <v>329</v>
      </c>
    </row>
    <row r="6" spans="1:31" ht="50.25" customHeight="1">
      <c r="A6" s="260" t="s">
        <v>353</v>
      </c>
      <c r="B6" s="371" t="s">
        <v>354</v>
      </c>
      <c r="C6" s="372"/>
      <c r="D6" s="372"/>
      <c r="E6" s="372"/>
      <c r="F6" s="373"/>
      <c r="G6" s="268" t="s">
        <v>355</v>
      </c>
      <c r="H6" s="274"/>
      <c r="I6" s="274"/>
      <c r="J6" s="274"/>
      <c r="K6" s="269"/>
      <c r="L6" s="268" t="s">
        <v>356</v>
      </c>
      <c r="M6" s="274"/>
      <c r="N6" s="274"/>
      <c r="O6" s="274"/>
      <c r="P6" s="269"/>
      <c r="Q6" s="268" t="s">
        <v>531</v>
      </c>
      <c r="R6" s="274"/>
      <c r="S6" s="274"/>
      <c r="T6" s="274"/>
      <c r="U6" s="269"/>
      <c r="V6" s="268" t="s">
        <v>532</v>
      </c>
      <c r="W6" s="274"/>
      <c r="X6" s="274"/>
      <c r="Y6" s="274"/>
      <c r="Z6" s="269"/>
      <c r="AA6" s="268" t="s">
        <v>153</v>
      </c>
      <c r="AB6" s="274"/>
      <c r="AC6" s="274"/>
      <c r="AD6" s="274"/>
      <c r="AE6" s="269"/>
    </row>
    <row r="7" spans="1:31" ht="33.75" customHeight="1">
      <c r="A7" s="385"/>
      <c r="B7" s="374"/>
      <c r="C7" s="375"/>
      <c r="D7" s="375"/>
      <c r="E7" s="375"/>
      <c r="F7" s="376"/>
      <c r="G7" s="260" t="s">
        <v>357</v>
      </c>
      <c r="H7" s="268" t="s">
        <v>358</v>
      </c>
      <c r="I7" s="274"/>
      <c r="J7" s="274"/>
      <c r="K7" s="269"/>
      <c r="L7" s="260" t="s">
        <v>357</v>
      </c>
      <c r="M7" s="268" t="s">
        <v>358</v>
      </c>
      <c r="N7" s="274"/>
      <c r="O7" s="274"/>
      <c r="P7" s="269"/>
      <c r="Q7" s="260" t="s">
        <v>357</v>
      </c>
      <c r="R7" s="268" t="s">
        <v>358</v>
      </c>
      <c r="S7" s="274"/>
      <c r="T7" s="274"/>
      <c r="U7" s="269"/>
      <c r="V7" s="260" t="s">
        <v>357</v>
      </c>
      <c r="W7" s="268" t="s">
        <v>358</v>
      </c>
      <c r="X7" s="274"/>
      <c r="Y7" s="274"/>
      <c r="Z7" s="269"/>
      <c r="AA7" s="260" t="s">
        <v>357</v>
      </c>
      <c r="AB7" s="268" t="s">
        <v>358</v>
      </c>
      <c r="AC7" s="274"/>
      <c r="AD7" s="274"/>
      <c r="AE7" s="269"/>
    </row>
    <row r="8" spans="1:31" ht="26.25" customHeight="1">
      <c r="A8" s="261"/>
      <c r="B8" s="377"/>
      <c r="C8" s="378"/>
      <c r="D8" s="378"/>
      <c r="E8" s="378"/>
      <c r="F8" s="379"/>
      <c r="G8" s="261"/>
      <c r="H8" s="209" t="s">
        <v>359</v>
      </c>
      <c r="I8" s="209" t="s">
        <v>360</v>
      </c>
      <c r="J8" s="209" t="s">
        <v>361</v>
      </c>
      <c r="K8" s="209" t="s">
        <v>160</v>
      </c>
      <c r="L8" s="261"/>
      <c r="M8" s="209" t="s">
        <v>359</v>
      </c>
      <c r="N8" s="209" t="s">
        <v>360</v>
      </c>
      <c r="O8" s="209" t="s">
        <v>361</v>
      </c>
      <c r="P8" s="209" t="s">
        <v>160</v>
      </c>
      <c r="Q8" s="261"/>
      <c r="R8" s="209" t="s">
        <v>359</v>
      </c>
      <c r="S8" s="209" t="s">
        <v>360</v>
      </c>
      <c r="T8" s="209" t="s">
        <v>361</v>
      </c>
      <c r="U8" s="209" t="s">
        <v>160</v>
      </c>
      <c r="V8" s="261"/>
      <c r="W8" s="209" t="s">
        <v>359</v>
      </c>
      <c r="X8" s="209" t="s">
        <v>360</v>
      </c>
      <c r="Y8" s="209" t="s">
        <v>361</v>
      </c>
      <c r="Z8" s="209" t="s">
        <v>160</v>
      </c>
      <c r="AA8" s="261"/>
      <c r="AB8" s="209" t="s">
        <v>359</v>
      </c>
      <c r="AC8" s="209" t="s">
        <v>360</v>
      </c>
      <c r="AD8" s="209" t="s">
        <v>361</v>
      </c>
      <c r="AE8" s="209" t="s">
        <v>160</v>
      </c>
    </row>
    <row r="9" spans="1:31" ht="18.75" customHeight="1">
      <c r="A9" s="209">
        <v>1</v>
      </c>
      <c r="B9" s="268">
        <v>2</v>
      </c>
      <c r="C9" s="274"/>
      <c r="D9" s="274"/>
      <c r="E9" s="274"/>
      <c r="F9" s="269"/>
      <c r="G9" s="209">
        <v>3</v>
      </c>
      <c r="H9" s="209">
        <v>4</v>
      </c>
      <c r="I9" s="209">
        <v>5</v>
      </c>
      <c r="J9" s="209">
        <v>6</v>
      </c>
      <c r="K9" s="209">
        <v>7</v>
      </c>
      <c r="L9" s="209">
        <v>8</v>
      </c>
      <c r="M9" s="209">
        <v>9</v>
      </c>
      <c r="N9" s="209">
        <v>10</v>
      </c>
      <c r="O9" s="209">
        <v>11</v>
      </c>
      <c r="P9" s="209">
        <v>12</v>
      </c>
      <c r="Q9" s="209">
        <v>13</v>
      </c>
      <c r="R9" s="209">
        <v>14</v>
      </c>
      <c r="S9" s="209">
        <v>15</v>
      </c>
      <c r="T9" s="209">
        <v>16</v>
      </c>
      <c r="U9" s="209">
        <v>17</v>
      </c>
      <c r="V9" s="210">
        <v>18</v>
      </c>
      <c r="W9" s="210">
        <v>19</v>
      </c>
      <c r="X9" s="210">
        <v>20</v>
      </c>
      <c r="Y9" s="210">
        <v>21</v>
      </c>
      <c r="Z9" s="210">
        <v>22</v>
      </c>
      <c r="AA9" s="210">
        <v>23</v>
      </c>
      <c r="AB9" s="210">
        <v>24</v>
      </c>
      <c r="AC9" s="210">
        <v>25</v>
      </c>
      <c r="AD9" s="210">
        <v>26</v>
      </c>
      <c r="AE9" s="210">
        <v>27</v>
      </c>
    </row>
    <row r="10" spans="1:31" ht="21.75" customHeight="1">
      <c r="A10" s="173">
        <v>1</v>
      </c>
      <c r="B10" s="368" t="s">
        <v>331</v>
      </c>
      <c r="C10" s="369"/>
      <c r="D10" s="369"/>
      <c r="E10" s="369"/>
      <c r="F10" s="370"/>
      <c r="G10" s="129">
        <f t="shared" ref="G10:G22" si="0">SUM(H10,I10,J10,K10)</f>
        <v>0</v>
      </c>
      <c r="H10" s="31">
        <v>0</v>
      </c>
      <c r="I10" s="31">
        <v>0</v>
      </c>
      <c r="J10" s="31">
        <v>0</v>
      </c>
      <c r="K10" s="31">
        <v>0</v>
      </c>
      <c r="L10" s="129">
        <f t="shared" ref="L10:L22" si="1">SUM(M10,N10,O10,P10)</f>
        <v>0</v>
      </c>
      <c r="M10" s="31">
        <v>0</v>
      </c>
      <c r="N10" s="31">
        <v>0</v>
      </c>
      <c r="O10" s="31">
        <v>0</v>
      </c>
      <c r="P10" s="31">
        <v>0</v>
      </c>
      <c r="Q10" s="129">
        <f t="shared" ref="Q10:Q22" si="2">SUM(R10,S10,T10,U10)</f>
        <v>0</v>
      </c>
      <c r="R10" s="31">
        <v>0</v>
      </c>
      <c r="S10" s="31">
        <v>0</v>
      </c>
      <c r="T10" s="31">
        <v>0</v>
      </c>
      <c r="U10" s="31">
        <v>0</v>
      </c>
      <c r="V10" s="150">
        <f>SUM(W10,X10,Y10,Z10)</f>
        <v>0</v>
      </c>
      <c r="W10" s="31">
        <v>0</v>
      </c>
      <c r="X10" s="31">
        <v>0</v>
      </c>
      <c r="Y10" s="31">
        <v>0</v>
      </c>
      <c r="Z10" s="31">
        <v>0</v>
      </c>
      <c r="AA10" s="157">
        <f t="shared" ref="AA10:AA13" si="3">SUM(AB10,AC10,AD10,AE10)</f>
        <v>0</v>
      </c>
      <c r="AB10" s="129">
        <f t="shared" ref="AB10:AE14" si="4">SUM(H10,M10,R10,W10)</f>
        <v>0</v>
      </c>
      <c r="AC10" s="129">
        <f t="shared" si="4"/>
        <v>0</v>
      </c>
      <c r="AD10" s="129">
        <f t="shared" si="4"/>
        <v>0</v>
      </c>
      <c r="AE10" s="129">
        <f t="shared" si="4"/>
        <v>0</v>
      </c>
    </row>
    <row r="11" spans="1:31" ht="40.799999999999997" customHeight="1">
      <c r="A11" s="173">
        <v>2</v>
      </c>
      <c r="B11" s="368" t="s">
        <v>362</v>
      </c>
      <c r="C11" s="369"/>
      <c r="D11" s="369"/>
      <c r="E11" s="369"/>
      <c r="F11" s="370"/>
      <c r="G11" s="76">
        <f t="shared" si="0"/>
        <v>0</v>
      </c>
      <c r="H11" s="30">
        <v>0</v>
      </c>
      <c r="I11" s="30">
        <v>0</v>
      </c>
      <c r="J11" s="30">
        <v>0</v>
      </c>
      <c r="K11" s="30">
        <v>0</v>
      </c>
      <c r="L11" s="76">
        <f t="shared" si="1"/>
        <v>0</v>
      </c>
      <c r="M11" s="30">
        <v>0</v>
      </c>
      <c r="N11" s="30">
        <v>0</v>
      </c>
      <c r="O11" s="30">
        <v>0</v>
      </c>
      <c r="P11" s="30">
        <v>0</v>
      </c>
      <c r="Q11" s="76">
        <f t="shared" si="2"/>
        <v>0</v>
      </c>
      <c r="R11" s="30">
        <v>0</v>
      </c>
      <c r="S11" s="30">
        <v>0</v>
      </c>
      <c r="T11" s="30">
        <v>0</v>
      </c>
      <c r="U11" s="30">
        <v>0</v>
      </c>
      <c r="V11" s="76">
        <f t="shared" ref="V11:V22" si="5">SUM(W11,X11,Y11,Z11)</f>
        <v>0</v>
      </c>
      <c r="W11" s="30">
        <v>0</v>
      </c>
      <c r="X11" s="30">
        <v>0</v>
      </c>
      <c r="Y11" s="30">
        <v>0</v>
      </c>
      <c r="Z11" s="30">
        <v>0</v>
      </c>
      <c r="AA11" s="41">
        <f t="shared" si="3"/>
        <v>0</v>
      </c>
      <c r="AB11" s="76">
        <f t="shared" si="4"/>
        <v>0</v>
      </c>
      <c r="AC11" s="76">
        <f t="shared" si="4"/>
        <v>0</v>
      </c>
      <c r="AD11" s="76">
        <f t="shared" si="4"/>
        <v>0</v>
      </c>
      <c r="AE11" s="76">
        <f t="shared" si="4"/>
        <v>0</v>
      </c>
    </row>
    <row r="12" spans="1:31" ht="41.4" customHeight="1">
      <c r="A12" s="173">
        <v>3</v>
      </c>
      <c r="B12" s="368" t="s">
        <v>363</v>
      </c>
      <c r="C12" s="369"/>
      <c r="D12" s="369"/>
      <c r="E12" s="369"/>
      <c r="F12" s="370"/>
      <c r="G12" s="76">
        <f t="shared" si="0"/>
        <v>0</v>
      </c>
      <c r="H12" s="30">
        <v>0</v>
      </c>
      <c r="I12" s="30">
        <v>0</v>
      </c>
      <c r="J12" s="30">
        <v>0</v>
      </c>
      <c r="K12" s="30">
        <v>0</v>
      </c>
      <c r="L12" s="76">
        <f t="shared" si="1"/>
        <v>0</v>
      </c>
      <c r="M12" s="30">
        <v>0</v>
      </c>
      <c r="N12" s="30">
        <v>0</v>
      </c>
      <c r="O12" s="30">
        <v>0</v>
      </c>
      <c r="P12" s="30">
        <v>0</v>
      </c>
      <c r="Q12" s="76">
        <f t="shared" si="2"/>
        <v>0</v>
      </c>
      <c r="R12" s="30">
        <v>0</v>
      </c>
      <c r="S12" s="30">
        <v>0</v>
      </c>
      <c r="T12" s="30">
        <v>0</v>
      </c>
      <c r="U12" s="30">
        <v>0</v>
      </c>
      <c r="V12" s="76">
        <f t="shared" si="5"/>
        <v>0</v>
      </c>
      <c r="W12" s="30">
        <v>0</v>
      </c>
      <c r="X12" s="30">
        <v>0</v>
      </c>
      <c r="Y12" s="30">
        <v>0</v>
      </c>
      <c r="Z12" s="30">
        <v>0</v>
      </c>
      <c r="AA12" s="41">
        <f t="shared" si="3"/>
        <v>0</v>
      </c>
      <c r="AB12" s="76">
        <f t="shared" si="4"/>
        <v>0</v>
      </c>
      <c r="AC12" s="76">
        <f t="shared" si="4"/>
        <v>0</v>
      </c>
      <c r="AD12" s="76">
        <f t="shared" si="4"/>
        <v>0</v>
      </c>
      <c r="AE12" s="76">
        <f t="shared" si="4"/>
        <v>0</v>
      </c>
    </row>
    <row r="13" spans="1:31" ht="54.6" customHeight="1">
      <c r="A13" s="173">
        <v>4</v>
      </c>
      <c r="B13" s="368" t="s">
        <v>364</v>
      </c>
      <c r="C13" s="369"/>
      <c r="D13" s="369"/>
      <c r="E13" s="369"/>
      <c r="F13" s="370"/>
      <c r="G13" s="76">
        <f t="shared" si="0"/>
        <v>0</v>
      </c>
      <c r="H13" s="30">
        <v>0</v>
      </c>
      <c r="I13" s="30">
        <v>0</v>
      </c>
      <c r="J13" s="30">
        <v>0</v>
      </c>
      <c r="K13" s="30">
        <v>0</v>
      </c>
      <c r="L13" s="76">
        <f t="shared" si="1"/>
        <v>0</v>
      </c>
      <c r="M13" s="30">
        <v>0</v>
      </c>
      <c r="N13" s="30">
        <v>0</v>
      </c>
      <c r="O13" s="30">
        <v>0</v>
      </c>
      <c r="P13" s="30">
        <v>0</v>
      </c>
      <c r="Q13" s="76">
        <f t="shared" si="2"/>
        <v>0</v>
      </c>
      <c r="R13" s="30">
        <v>0</v>
      </c>
      <c r="S13" s="30">
        <v>0</v>
      </c>
      <c r="T13" s="30">
        <v>0</v>
      </c>
      <c r="U13" s="30">
        <v>0</v>
      </c>
      <c r="V13" s="76">
        <f t="shared" si="5"/>
        <v>0</v>
      </c>
      <c r="W13" s="30">
        <v>0</v>
      </c>
      <c r="X13" s="30">
        <v>0</v>
      </c>
      <c r="Y13" s="30">
        <v>0</v>
      </c>
      <c r="Z13" s="30">
        <v>0</v>
      </c>
      <c r="AA13" s="41">
        <f t="shared" si="3"/>
        <v>0</v>
      </c>
      <c r="AB13" s="76">
        <f t="shared" si="4"/>
        <v>0</v>
      </c>
      <c r="AC13" s="76">
        <f t="shared" si="4"/>
        <v>0</v>
      </c>
      <c r="AD13" s="76">
        <f t="shared" si="4"/>
        <v>0</v>
      </c>
      <c r="AE13" s="76">
        <f t="shared" si="4"/>
        <v>0</v>
      </c>
    </row>
    <row r="14" spans="1:31" ht="39.75" customHeight="1">
      <c r="A14" s="173">
        <v>5</v>
      </c>
      <c r="B14" s="368" t="s">
        <v>365</v>
      </c>
      <c r="C14" s="369"/>
      <c r="D14" s="369"/>
      <c r="E14" s="369"/>
      <c r="F14" s="370"/>
      <c r="G14" s="129">
        <f t="shared" si="0"/>
        <v>0</v>
      </c>
      <c r="H14" s="31">
        <v>0</v>
      </c>
      <c r="I14" s="31">
        <v>0</v>
      </c>
      <c r="J14" s="31">
        <v>0</v>
      </c>
      <c r="K14" s="31">
        <v>0</v>
      </c>
      <c r="L14" s="150">
        <f>SUM(M14,N14,O14,P14)</f>
        <v>83333.3</v>
      </c>
      <c r="M14" s="33">
        <f>SUM(M15:M21)</f>
        <v>6194.5</v>
      </c>
      <c r="N14" s="33">
        <f>SUM(N15:N21)</f>
        <v>28906.400000000001</v>
      </c>
      <c r="O14" s="33">
        <f>SUM(O15:O21)</f>
        <v>28906.400000000001</v>
      </c>
      <c r="P14" s="33">
        <f>SUM(P15:P21)</f>
        <v>19326</v>
      </c>
      <c r="Q14" s="150">
        <f t="shared" si="2"/>
        <v>53599.9</v>
      </c>
      <c r="R14" s="33">
        <f>SUM(R15:R21)</f>
        <v>12895.8</v>
      </c>
      <c r="S14" s="33">
        <f>SUM(S15:S21)</f>
        <v>12895.9</v>
      </c>
      <c r="T14" s="33">
        <f>SUM(T15:T21)</f>
        <v>12895.8</v>
      </c>
      <c r="U14" s="33">
        <f>SUM(U15:U21)</f>
        <v>14912.4</v>
      </c>
      <c r="V14" s="150">
        <f t="shared" si="5"/>
        <v>0</v>
      </c>
      <c r="W14" s="33">
        <f>SUM(W15:W21)</f>
        <v>0</v>
      </c>
      <c r="X14" s="33">
        <f>SUM(X15:X21)</f>
        <v>0</v>
      </c>
      <c r="Y14" s="33">
        <f>SUM(Y15:Y21)</f>
        <v>0</v>
      </c>
      <c r="Z14" s="33">
        <f>SUM(Z15:Z21)</f>
        <v>0</v>
      </c>
      <c r="AA14" s="168">
        <f>SUM(AB14,AC14,AD14,AE14)</f>
        <v>136933.20000000001</v>
      </c>
      <c r="AB14" s="150">
        <f>SUM(H14,M14,R14,W14)</f>
        <v>19090.3</v>
      </c>
      <c r="AC14" s="150">
        <f>SUM(I14,N14,S14,X14)</f>
        <v>41802.300000000003</v>
      </c>
      <c r="AD14" s="150">
        <f t="shared" si="4"/>
        <v>41802.199999999997</v>
      </c>
      <c r="AE14" s="150">
        <f t="shared" si="4"/>
        <v>34238.400000000001</v>
      </c>
    </row>
    <row r="15" spans="1:31" ht="75.599999999999994" customHeight="1">
      <c r="A15" s="166" t="s">
        <v>486</v>
      </c>
      <c r="B15" s="362" t="s">
        <v>516</v>
      </c>
      <c r="C15" s="365"/>
      <c r="D15" s="365"/>
      <c r="E15" s="365"/>
      <c r="F15" s="366"/>
      <c r="G15" s="76"/>
      <c r="H15" s="30">
        <v>0</v>
      </c>
      <c r="I15" s="30">
        <v>0</v>
      </c>
      <c r="J15" s="30">
        <v>0</v>
      </c>
      <c r="K15" s="30">
        <v>0</v>
      </c>
      <c r="L15" s="167">
        <f t="shared" ref="L15:L21" si="6">SUM(M15,N15,O15,P15)</f>
        <v>39172.800000000003</v>
      </c>
      <c r="M15" s="32">
        <v>6194.5</v>
      </c>
      <c r="N15" s="32">
        <v>10992.8</v>
      </c>
      <c r="O15" s="32">
        <v>10992.8</v>
      </c>
      <c r="P15" s="32">
        <v>10992.7</v>
      </c>
      <c r="Q15" s="167">
        <f t="shared" si="2"/>
        <v>0</v>
      </c>
      <c r="R15" s="32">
        <v>0</v>
      </c>
      <c r="S15" s="32">
        <v>0</v>
      </c>
      <c r="T15" s="32">
        <v>0</v>
      </c>
      <c r="U15" s="32">
        <v>0</v>
      </c>
      <c r="V15" s="167">
        <f t="shared" si="5"/>
        <v>0</v>
      </c>
      <c r="W15" s="32">
        <v>0</v>
      </c>
      <c r="X15" s="32">
        <v>0</v>
      </c>
      <c r="Y15" s="32">
        <v>0</v>
      </c>
      <c r="Z15" s="32">
        <v>0</v>
      </c>
      <c r="AA15" s="169">
        <f t="shared" ref="AA15" si="7">SUM(AB15,AC15,AD15,AE15)</f>
        <v>39172.800000000003</v>
      </c>
      <c r="AB15" s="167">
        <f t="shared" ref="AB15" si="8">SUM(H15,M15,R15,W15)</f>
        <v>6194.5</v>
      </c>
      <c r="AC15" s="167">
        <f t="shared" ref="AC15" si="9">SUM(I15,N15,S15,X15)</f>
        <v>10992.8</v>
      </c>
      <c r="AD15" s="167">
        <f t="shared" ref="AD15" si="10">SUM(J15,O15,T15,Y15)</f>
        <v>10992.8</v>
      </c>
      <c r="AE15" s="167">
        <f t="shared" ref="AE15" si="11">SUM(K15,P15,U15,Z15)</f>
        <v>10992.7</v>
      </c>
    </row>
    <row r="16" spans="1:31" ht="79.2" customHeight="1">
      <c r="A16" s="166" t="s">
        <v>487</v>
      </c>
      <c r="B16" s="362" t="s">
        <v>533</v>
      </c>
      <c r="C16" s="365"/>
      <c r="D16" s="365"/>
      <c r="E16" s="365"/>
      <c r="F16" s="366"/>
      <c r="G16" s="76"/>
      <c r="H16" s="30">
        <v>0</v>
      </c>
      <c r="I16" s="30">
        <v>0</v>
      </c>
      <c r="J16" s="30">
        <v>0</v>
      </c>
      <c r="K16" s="30">
        <v>0</v>
      </c>
      <c r="L16" s="167">
        <f t="shared" si="6"/>
        <v>2493.8000000000002</v>
      </c>
      <c r="M16" s="32">
        <v>0</v>
      </c>
      <c r="N16" s="177">
        <v>1246.9000000000001</v>
      </c>
      <c r="O16" s="177">
        <v>1246.9000000000001</v>
      </c>
      <c r="P16" s="177">
        <v>0</v>
      </c>
      <c r="Q16" s="167">
        <f t="shared" si="2"/>
        <v>0</v>
      </c>
      <c r="R16" s="32">
        <v>0</v>
      </c>
      <c r="S16" s="32">
        <v>0</v>
      </c>
      <c r="T16" s="32">
        <v>0</v>
      </c>
      <c r="U16" s="32">
        <v>0</v>
      </c>
      <c r="V16" s="167">
        <f t="shared" si="5"/>
        <v>0</v>
      </c>
      <c r="W16" s="32">
        <v>0</v>
      </c>
      <c r="X16" s="32">
        <v>0</v>
      </c>
      <c r="Y16" s="32">
        <v>0</v>
      </c>
      <c r="Z16" s="32">
        <v>0</v>
      </c>
      <c r="AA16" s="169">
        <f t="shared" ref="AA16:AA22" si="12">SUM(AB16,AC16,AD16,AE16)</f>
        <v>2493.8000000000002</v>
      </c>
      <c r="AB16" s="167">
        <f t="shared" ref="AB16:AB22" si="13">SUM(H16,M16,R16,W16)</f>
        <v>0</v>
      </c>
      <c r="AC16" s="167">
        <f t="shared" ref="AC16:AC22" si="14">SUM(I16,N16,S16,X16)</f>
        <v>1246.9000000000001</v>
      </c>
      <c r="AD16" s="167">
        <f t="shared" ref="AD16:AD22" si="15">SUM(J16,O16,T16,Y16)</f>
        <v>1246.9000000000001</v>
      </c>
      <c r="AE16" s="167">
        <f t="shared" ref="AE16:AE22" si="16">SUM(K16,P16,U16,Z16)</f>
        <v>0</v>
      </c>
    </row>
    <row r="17" spans="1:31" ht="89.4" customHeight="1">
      <c r="A17" s="166" t="s">
        <v>488</v>
      </c>
      <c r="B17" s="297" t="s">
        <v>517</v>
      </c>
      <c r="C17" s="298"/>
      <c r="D17" s="298"/>
      <c r="E17" s="298"/>
      <c r="F17" s="367"/>
      <c r="G17" s="76"/>
      <c r="H17" s="30">
        <v>0</v>
      </c>
      <c r="I17" s="30">
        <v>0</v>
      </c>
      <c r="J17" s="30">
        <v>0</v>
      </c>
      <c r="K17" s="30">
        <v>0</v>
      </c>
      <c r="L17" s="167">
        <f t="shared" si="6"/>
        <v>0</v>
      </c>
      <c r="M17" s="32">
        <v>0</v>
      </c>
      <c r="N17" s="177">
        <v>0</v>
      </c>
      <c r="O17" s="177">
        <v>0</v>
      </c>
      <c r="P17" s="177">
        <v>0</v>
      </c>
      <c r="Q17" s="167">
        <f t="shared" si="2"/>
        <v>18322</v>
      </c>
      <c r="R17" s="32">
        <v>6107.3</v>
      </c>
      <c r="S17" s="32">
        <v>6107.4</v>
      </c>
      <c r="T17" s="32">
        <v>6107.3</v>
      </c>
      <c r="U17" s="32">
        <v>0</v>
      </c>
      <c r="V17" s="167">
        <f t="shared" si="5"/>
        <v>0</v>
      </c>
      <c r="W17" s="32">
        <v>0</v>
      </c>
      <c r="X17" s="32">
        <v>0</v>
      </c>
      <c r="Y17" s="32">
        <v>0</v>
      </c>
      <c r="Z17" s="32">
        <v>0</v>
      </c>
      <c r="AA17" s="169">
        <f t="shared" si="12"/>
        <v>18322</v>
      </c>
      <c r="AB17" s="167">
        <f t="shared" si="13"/>
        <v>6107.3</v>
      </c>
      <c r="AC17" s="167">
        <f t="shared" si="14"/>
        <v>6107.4</v>
      </c>
      <c r="AD17" s="167">
        <f t="shared" si="15"/>
        <v>6107.3</v>
      </c>
      <c r="AE17" s="167">
        <f t="shared" si="16"/>
        <v>0</v>
      </c>
    </row>
    <row r="18" spans="1:31" ht="93" customHeight="1">
      <c r="A18" s="166" t="s">
        <v>489</v>
      </c>
      <c r="B18" s="297" t="s">
        <v>518</v>
      </c>
      <c r="C18" s="298"/>
      <c r="D18" s="298"/>
      <c r="E18" s="298"/>
      <c r="F18" s="367"/>
      <c r="G18" s="76"/>
      <c r="H18" s="30">
        <v>0</v>
      </c>
      <c r="I18" s="30">
        <v>0</v>
      </c>
      <c r="J18" s="30">
        <v>0</v>
      </c>
      <c r="K18" s="30">
        <v>0</v>
      </c>
      <c r="L18" s="167">
        <f t="shared" si="6"/>
        <v>0</v>
      </c>
      <c r="M18" s="32">
        <v>0</v>
      </c>
      <c r="N18" s="177">
        <v>0</v>
      </c>
      <c r="O18" s="177">
        <v>0</v>
      </c>
      <c r="P18" s="177">
        <v>0</v>
      </c>
      <c r="Q18" s="167">
        <f t="shared" si="2"/>
        <v>8124</v>
      </c>
      <c r="R18" s="32">
        <v>0</v>
      </c>
      <c r="S18" s="32">
        <v>0</v>
      </c>
      <c r="T18" s="32">
        <v>0</v>
      </c>
      <c r="U18" s="32">
        <v>8124</v>
      </c>
      <c r="V18" s="167">
        <f t="shared" si="5"/>
        <v>0</v>
      </c>
      <c r="W18" s="32">
        <v>0</v>
      </c>
      <c r="X18" s="32">
        <v>0</v>
      </c>
      <c r="Y18" s="32">
        <v>0</v>
      </c>
      <c r="Z18" s="32">
        <v>0</v>
      </c>
      <c r="AA18" s="169">
        <f t="shared" si="12"/>
        <v>8124</v>
      </c>
      <c r="AB18" s="167">
        <f t="shared" si="13"/>
        <v>0</v>
      </c>
      <c r="AC18" s="167">
        <f t="shared" si="14"/>
        <v>0</v>
      </c>
      <c r="AD18" s="167">
        <f t="shared" si="15"/>
        <v>0</v>
      </c>
      <c r="AE18" s="167">
        <f t="shared" si="16"/>
        <v>8124</v>
      </c>
    </row>
    <row r="19" spans="1:31" ht="76.8" customHeight="1">
      <c r="A19" s="166" t="s">
        <v>490</v>
      </c>
      <c r="B19" s="362" t="s">
        <v>519</v>
      </c>
      <c r="C19" s="363"/>
      <c r="D19" s="363"/>
      <c r="E19" s="363"/>
      <c r="F19" s="364"/>
      <c r="G19" s="76"/>
      <c r="H19" s="30">
        <v>0</v>
      </c>
      <c r="I19" s="30">
        <v>0</v>
      </c>
      <c r="J19" s="30">
        <v>0</v>
      </c>
      <c r="K19" s="30">
        <v>0</v>
      </c>
      <c r="L19" s="167">
        <f>SUM(M19,N19,O19,P19)</f>
        <v>41666.699999999997</v>
      </c>
      <c r="M19" s="32">
        <v>0</v>
      </c>
      <c r="N19" s="32">
        <v>16666.7</v>
      </c>
      <c r="O19" s="32">
        <v>16666.7</v>
      </c>
      <c r="P19" s="32">
        <v>8333.2999999999993</v>
      </c>
      <c r="Q19" s="167">
        <f t="shared" si="2"/>
        <v>0</v>
      </c>
      <c r="R19" s="32"/>
      <c r="S19" s="32"/>
      <c r="T19" s="32"/>
      <c r="U19" s="32"/>
      <c r="V19" s="167">
        <f t="shared" si="5"/>
        <v>0</v>
      </c>
      <c r="W19" s="32">
        <v>0</v>
      </c>
      <c r="X19" s="32">
        <v>0</v>
      </c>
      <c r="Y19" s="32">
        <v>0</v>
      </c>
      <c r="Z19" s="32">
        <v>0</v>
      </c>
      <c r="AA19" s="169">
        <f t="shared" si="12"/>
        <v>41666.699999999997</v>
      </c>
      <c r="AB19" s="167">
        <f t="shared" si="13"/>
        <v>0</v>
      </c>
      <c r="AC19" s="167">
        <f t="shared" si="14"/>
        <v>16666.7</v>
      </c>
      <c r="AD19" s="167">
        <f t="shared" si="15"/>
        <v>16666.7</v>
      </c>
      <c r="AE19" s="167">
        <f t="shared" si="16"/>
        <v>8333.2999999999993</v>
      </c>
    </row>
    <row r="20" spans="1:31" ht="96" customHeight="1">
      <c r="A20" s="166" t="s">
        <v>491</v>
      </c>
      <c r="B20" s="297" t="s">
        <v>520</v>
      </c>
      <c r="C20" s="413"/>
      <c r="D20" s="413"/>
      <c r="E20" s="413"/>
      <c r="F20" s="414"/>
      <c r="G20" s="76"/>
      <c r="H20" s="30">
        <v>0</v>
      </c>
      <c r="I20" s="30">
        <v>0</v>
      </c>
      <c r="J20" s="30">
        <v>0</v>
      </c>
      <c r="K20" s="30">
        <v>0</v>
      </c>
      <c r="L20" s="167">
        <f t="shared" si="6"/>
        <v>0</v>
      </c>
      <c r="M20" s="32">
        <v>0</v>
      </c>
      <c r="N20" s="32">
        <v>0</v>
      </c>
      <c r="O20" s="32">
        <v>0</v>
      </c>
      <c r="P20" s="32">
        <v>0</v>
      </c>
      <c r="Q20" s="167">
        <f t="shared" si="2"/>
        <v>9855.9</v>
      </c>
      <c r="R20" s="32">
        <v>6788.5</v>
      </c>
      <c r="S20" s="32">
        <v>3067.4</v>
      </c>
      <c r="T20" s="32">
        <v>0</v>
      </c>
      <c r="U20" s="32">
        <v>0</v>
      </c>
      <c r="V20" s="167"/>
      <c r="W20" s="32">
        <v>0</v>
      </c>
      <c r="X20" s="32">
        <v>0</v>
      </c>
      <c r="Y20" s="32">
        <v>0</v>
      </c>
      <c r="Z20" s="32">
        <v>0</v>
      </c>
      <c r="AA20" s="169">
        <f t="shared" ref="AA20:AA21" si="17">SUM(AB20,AC20,AD20,AE20)</f>
        <v>9855.9</v>
      </c>
      <c r="AB20" s="167">
        <f t="shared" ref="AB20:AB21" si="18">SUM(H20,M20,R20,W20)</f>
        <v>6788.5</v>
      </c>
      <c r="AC20" s="167">
        <f t="shared" ref="AC20:AC21" si="19">SUM(I20,N20,S20,X20)</f>
        <v>3067.4</v>
      </c>
      <c r="AD20" s="167">
        <f t="shared" ref="AD20:AD21" si="20">SUM(J20,O20,T20,Y20)</f>
        <v>0</v>
      </c>
      <c r="AE20" s="167">
        <f t="shared" ref="AE20:AE21" si="21">SUM(K20,P20,U20,Z20)</f>
        <v>0</v>
      </c>
    </row>
    <row r="21" spans="1:31" ht="94.2" customHeight="1">
      <c r="A21" s="166" t="s">
        <v>492</v>
      </c>
      <c r="B21" s="297" t="s">
        <v>521</v>
      </c>
      <c r="C21" s="413"/>
      <c r="D21" s="413"/>
      <c r="E21" s="413"/>
      <c r="F21" s="414"/>
      <c r="G21" s="76"/>
      <c r="H21" s="30">
        <v>0</v>
      </c>
      <c r="I21" s="30">
        <v>0</v>
      </c>
      <c r="J21" s="30">
        <v>0</v>
      </c>
      <c r="K21" s="30">
        <v>0</v>
      </c>
      <c r="L21" s="167">
        <f t="shared" si="6"/>
        <v>0</v>
      </c>
      <c r="M21" s="32">
        <v>0</v>
      </c>
      <c r="N21" s="32">
        <v>0</v>
      </c>
      <c r="O21" s="32">
        <v>0</v>
      </c>
      <c r="P21" s="32">
        <v>0</v>
      </c>
      <c r="Q21" s="167">
        <f>SUM(R21,S21,T21,U21)</f>
        <v>17298</v>
      </c>
      <c r="R21" s="32">
        <v>0</v>
      </c>
      <c r="S21" s="32">
        <v>3721.1</v>
      </c>
      <c r="T21" s="32">
        <v>6788.5</v>
      </c>
      <c r="U21" s="32">
        <v>6788.4</v>
      </c>
      <c r="V21" s="167"/>
      <c r="W21" s="32">
        <v>0</v>
      </c>
      <c r="X21" s="32">
        <v>0</v>
      </c>
      <c r="Y21" s="32">
        <v>0</v>
      </c>
      <c r="Z21" s="32">
        <v>0</v>
      </c>
      <c r="AA21" s="169">
        <f t="shared" si="17"/>
        <v>17298</v>
      </c>
      <c r="AB21" s="167">
        <f t="shared" si="18"/>
        <v>0</v>
      </c>
      <c r="AC21" s="167">
        <f t="shared" si="19"/>
        <v>3721.1</v>
      </c>
      <c r="AD21" s="167">
        <f t="shared" si="20"/>
        <v>6788.5</v>
      </c>
      <c r="AE21" s="167">
        <f t="shared" si="21"/>
        <v>6788.4</v>
      </c>
    </row>
    <row r="22" spans="1:31" ht="27.6" customHeight="1">
      <c r="A22" s="173">
        <v>6</v>
      </c>
      <c r="B22" s="368" t="s">
        <v>336</v>
      </c>
      <c r="C22" s="369"/>
      <c r="D22" s="369"/>
      <c r="E22" s="369"/>
      <c r="F22" s="370"/>
      <c r="G22" s="76">
        <f t="shared" si="0"/>
        <v>0</v>
      </c>
      <c r="H22" s="30">
        <v>0</v>
      </c>
      <c r="I22" s="30">
        <v>0</v>
      </c>
      <c r="J22" s="30">
        <v>0</v>
      </c>
      <c r="K22" s="30">
        <v>0</v>
      </c>
      <c r="L22" s="167">
        <f t="shared" si="1"/>
        <v>0</v>
      </c>
      <c r="M22" s="32">
        <v>0</v>
      </c>
      <c r="N22" s="32">
        <v>0</v>
      </c>
      <c r="O22" s="32">
        <v>0</v>
      </c>
      <c r="P22" s="32">
        <v>0</v>
      </c>
      <c r="Q22" s="167">
        <f t="shared" si="2"/>
        <v>0</v>
      </c>
      <c r="R22" s="32">
        <v>0</v>
      </c>
      <c r="S22" s="32">
        <v>0</v>
      </c>
      <c r="T22" s="32">
        <v>0</v>
      </c>
      <c r="U22" s="32">
        <v>0</v>
      </c>
      <c r="V22" s="167">
        <f t="shared" si="5"/>
        <v>0</v>
      </c>
      <c r="W22" s="32">
        <v>0</v>
      </c>
      <c r="X22" s="32">
        <v>0</v>
      </c>
      <c r="Y22" s="32">
        <v>0</v>
      </c>
      <c r="Z22" s="32">
        <v>0</v>
      </c>
      <c r="AA22" s="168">
        <f t="shared" si="12"/>
        <v>0</v>
      </c>
      <c r="AB22" s="167">
        <f t="shared" si="13"/>
        <v>0</v>
      </c>
      <c r="AC22" s="167">
        <f t="shared" si="14"/>
        <v>0</v>
      </c>
      <c r="AD22" s="167">
        <f t="shared" si="15"/>
        <v>0</v>
      </c>
      <c r="AE22" s="167">
        <f t="shared" si="16"/>
        <v>0</v>
      </c>
    </row>
    <row r="23" spans="1:31" ht="22.8" customHeight="1">
      <c r="A23" s="382" t="s">
        <v>153</v>
      </c>
      <c r="B23" s="383"/>
      <c r="C23" s="383"/>
      <c r="D23" s="383"/>
      <c r="E23" s="383"/>
      <c r="F23" s="384"/>
      <c r="G23" s="129">
        <f>SUM(G10:G22)</f>
        <v>0</v>
      </c>
      <c r="H23" s="129">
        <f>SUM(H10:H22)</f>
        <v>0</v>
      </c>
      <c r="I23" s="129">
        <f>SUM(I10:I22)</f>
        <v>0</v>
      </c>
      <c r="J23" s="129">
        <f>SUM(J10:J22)</f>
        <v>0</v>
      </c>
      <c r="K23" s="129">
        <f>SUM(K10:K22)</f>
        <v>0</v>
      </c>
      <c r="L23" s="150">
        <f t="shared" ref="L23:AE23" si="22">L10+L11+L12+L13+L14+L22</f>
        <v>83333.3</v>
      </c>
      <c r="M23" s="150">
        <f t="shared" si="22"/>
        <v>6194.5</v>
      </c>
      <c r="N23" s="150">
        <f t="shared" si="22"/>
        <v>28906.400000000001</v>
      </c>
      <c r="O23" s="150">
        <f t="shared" si="22"/>
        <v>28906.400000000001</v>
      </c>
      <c r="P23" s="150">
        <f t="shared" si="22"/>
        <v>19326</v>
      </c>
      <c r="Q23" s="150">
        <f t="shared" si="22"/>
        <v>53599.9</v>
      </c>
      <c r="R23" s="150">
        <f t="shared" si="22"/>
        <v>12895.8</v>
      </c>
      <c r="S23" s="150">
        <f t="shared" si="22"/>
        <v>12895.9</v>
      </c>
      <c r="T23" s="150">
        <f t="shared" si="22"/>
        <v>12895.8</v>
      </c>
      <c r="U23" s="150">
        <f t="shared" si="22"/>
        <v>14912.4</v>
      </c>
      <c r="V23" s="150">
        <f t="shared" si="22"/>
        <v>0</v>
      </c>
      <c r="W23" s="150">
        <f t="shared" si="22"/>
        <v>0</v>
      </c>
      <c r="X23" s="150">
        <f t="shared" si="22"/>
        <v>0</v>
      </c>
      <c r="Y23" s="150">
        <f t="shared" si="22"/>
        <v>0</v>
      </c>
      <c r="Z23" s="150">
        <f t="shared" si="22"/>
        <v>0</v>
      </c>
      <c r="AA23" s="168">
        <f t="shared" si="22"/>
        <v>136933.20000000001</v>
      </c>
      <c r="AB23" s="150">
        <f t="shared" si="22"/>
        <v>19090.3</v>
      </c>
      <c r="AC23" s="150">
        <f t="shared" si="22"/>
        <v>41802.300000000003</v>
      </c>
      <c r="AD23" s="150">
        <f t="shared" si="22"/>
        <v>41802.199999999997</v>
      </c>
      <c r="AE23" s="150">
        <f t="shared" si="22"/>
        <v>34238.400000000001</v>
      </c>
    </row>
    <row r="24" spans="1:31" ht="25.2" customHeight="1">
      <c r="A24" s="333" t="s">
        <v>366</v>
      </c>
      <c r="B24" s="334"/>
      <c r="C24" s="334"/>
      <c r="D24" s="334"/>
      <c r="E24" s="334"/>
      <c r="F24" s="335"/>
      <c r="G24" s="129">
        <f>G23/AA23*100</f>
        <v>0</v>
      </c>
      <c r="H24" s="78"/>
      <c r="I24" s="78"/>
      <c r="J24" s="78"/>
      <c r="K24" s="78"/>
      <c r="L24" s="150">
        <f>L23/AA23*100</f>
        <v>60.856899568548748</v>
      </c>
      <c r="M24" s="33"/>
      <c r="N24" s="33"/>
      <c r="O24" s="33"/>
      <c r="P24" s="33"/>
      <c r="Q24" s="150">
        <f>Q23/AA23*100</f>
        <v>39.143100431451245</v>
      </c>
      <c r="R24" s="33"/>
      <c r="S24" s="33"/>
      <c r="T24" s="33"/>
      <c r="U24" s="33"/>
      <c r="V24" s="150">
        <f>V23/AA23*100</f>
        <v>0</v>
      </c>
      <c r="W24" s="33"/>
      <c r="X24" s="33"/>
      <c r="Y24" s="33"/>
      <c r="Z24" s="33"/>
      <c r="AA24" s="150">
        <f>SUM(G24,L24,Q24,V24)</f>
        <v>100</v>
      </c>
      <c r="AB24" s="33"/>
      <c r="AC24" s="33"/>
      <c r="AD24" s="33"/>
      <c r="AE24" s="33"/>
    </row>
    <row r="25" spans="1:31" ht="16.2" customHeight="1"/>
    <row r="26" spans="1:31" ht="21.75" customHeight="1">
      <c r="A26" s="239" t="s">
        <v>367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</row>
    <row r="27" spans="1:31" ht="21.75" customHeight="1">
      <c r="AD27" s="426" t="s">
        <v>329</v>
      </c>
      <c r="AE27" s="426"/>
    </row>
    <row r="28" spans="1:31" ht="21.75" customHeight="1">
      <c r="A28" s="386" t="s">
        <v>353</v>
      </c>
      <c r="B28" s="386" t="s">
        <v>368</v>
      </c>
      <c r="C28" s="389" t="s">
        <v>495</v>
      </c>
      <c r="D28" s="390"/>
      <c r="E28" s="389" t="s">
        <v>369</v>
      </c>
      <c r="F28" s="390"/>
      <c r="G28" s="389" t="s">
        <v>370</v>
      </c>
      <c r="H28" s="390"/>
      <c r="I28" s="389" t="s">
        <v>371</v>
      </c>
      <c r="J28" s="390"/>
      <c r="K28" s="397" t="s">
        <v>372</v>
      </c>
      <c r="L28" s="398"/>
      <c r="M28" s="398"/>
      <c r="N28" s="398"/>
      <c r="O28" s="398"/>
      <c r="P28" s="398"/>
      <c r="Q28" s="398"/>
      <c r="R28" s="398"/>
      <c r="S28" s="398"/>
      <c r="T28" s="399"/>
      <c r="U28" s="389" t="s">
        <v>522</v>
      </c>
      <c r="V28" s="415"/>
      <c r="W28" s="415"/>
      <c r="X28" s="415"/>
      <c r="Y28" s="390"/>
      <c r="Z28" s="389" t="s">
        <v>373</v>
      </c>
      <c r="AA28" s="415"/>
      <c r="AB28" s="415"/>
      <c r="AC28" s="415"/>
      <c r="AD28" s="415"/>
      <c r="AE28" s="390"/>
    </row>
    <row r="29" spans="1:31" ht="20.25" customHeight="1">
      <c r="A29" s="387"/>
      <c r="B29" s="387"/>
      <c r="C29" s="391"/>
      <c r="D29" s="392"/>
      <c r="E29" s="391"/>
      <c r="F29" s="392"/>
      <c r="G29" s="391"/>
      <c r="H29" s="392"/>
      <c r="I29" s="391"/>
      <c r="J29" s="392"/>
      <c r="K29" s="389" t="s">
        <v>374</v>
      </c>
      <c r="L29" s="390"/>
      <c r="M29" s="389" t="s">
        <v>375</v>
      </c>
      <c r="N29" s="390"/>
      <c r="O29" s="397" t="s">
        <v>376</v>
      </c>
      <c r="P29" s="398"/>
      <c r="Q29" s="398"/>
      <c r="R29" s="398"/>
      <c r="S29" s="398"/>
      <c r="T29" s="399"/>
      <c r="U29" s="391"/>
      <c r="V29" s="416"/>
      <c r="W29" s="416"/>
      <c r="X29" s="416"/>
      <c r="Y29" s="392"/>
      <c r="Z29" s="391"/>
      <c r="AA29" s="416"/>
      <c r="AB29" s="416"/>
      <c r="AC29" s="416"/>
      <c r="AD29" s="416"/>
      <c r="AE29" s="392"/>
    </row>
    <row r="30" spans="1:31" ht="129" customHeight="1">
      <c r="A30" s="388"/>
      <c r="B30" s="388"/>
      <c r="C30" s="393"/>
      <c r="D30" s="394"/>
      <c r="E30" s="393"/>
      <c r="F30" s="394"/>
      <c r="G30" s="393"/>
      <c r="H30" s="394"/>
      <c r="I30" s="393"/>
      <c r="J30" s="394"/>
      <c r="K30" s="393"/>
      <c r="L30" s="394"/>
      <c r="M30" s="393"/>
      <c r="N30" s="394"/>
      <c r="O30" s="397" t="s">
        <v>377</v>
      </c>
      <c r="P30" s="399"/>
      <c r="Q30" s="397" t="s">
        <v>378</v>
      </c>
      <c r="R30" s="399"/>
      <c r="S30" s="397" t="s">
        <v>379</v>
      </c>
      <c r="T30" s="399"/>
      <c r="U30" s="393"/>
      <c r="V30" s="417"/>
      <c r="W30" s="417"/>
      <c r="X30" s="417"/>
      <c r="Y30" s="394"/>
      <c r="Z30" s="393"/>
      <c r="AA30" s="417"/>
      <c r="AB30" s="417"/>
      <c r="AC30" s="417"/>
      <c r="AD30" s="417"/>
      <c r="AE30" s="394"/>
    </row>
    <row r="31" spans="1:31" ht="15.75" customHeight="1">
      <c r="A31" s="208">
        <v>1</v>
      </c>
      <c r="B31" s="207">
        <v>2</v>
      </c>
      <c r="C31" s="397">
        <v>3</v>
      </c>
      <c r="D31" s="399"/>
      <c r="E31" s="397">
        <v>4</v>
      </c>
      <c r="F31" s="399"/>
      <c r="G31" s="397">
        <v>5</v>
      </c>
      <c r="H31" s="399"/>
      <c r="I31" s="397">
        <v>6</v>
      </c>
      <c r="J31" s="399"/>
      <c r="K31" s="397">
        <v>7</v>
      </c>
      <c r="L31" s="399"/>
      <c r="M31" s="397">
        <v>8</v>
      </c>
      <c r="N31" s="399"/>
      <c r="O31" s="397">
        <v>9</v>
      </c>
      <c r="P31" s="399"/>
      <c r="Q31" s="418">
        <v>10</v>
      </c>
      <c r="R31" s="419"/>
      <c r="S31" s="397">
        <v>11</v>
      </c>
      <c r="T31" s="399"/>
      <c r="U31" s="397">
        <v>12</v>
      </c>
      <c r="V31" s="398"/>
      <c r="W31" s="398"/>
      <c r="X31" s="398"/>
      <c r="Y31" s="399"/>
      <c r="Z31" s="397">
        <v>13</v>
      </c>
      <c r="AA31" s="398"/>
      <c r="AB31" s="398"/>
      <c r="AC31" s="398"/>
      <c r="AD31" s="398"/>
      <c r="AE31" s="399"/>
    </row>
    <row r="32" spans="1:31" ht="18">
      <c r="A32" s="214"/>
      <c r="B32" s="215"/>
      <c r="C32" s="404"/>
      <c r="D32" s="405"/>
      <c r="E32" s="406"/>
      <c r="F32" s="407"/>
      <c r="G32" s="402"/>
      <c r="H32" s="403"/>
      <c r="I32" s="402"/>
      <c r="J32" s="403"/>
      <c r="K32" s="402"/>
      <c r="L32" s="403"/>
      <c r="M32" s="411"/>
      <c r="N32" s="412"/>
      <c r="O32" s="402"/>
      <c r="P32" s="403"/>
      <c r="Q32" s="402"/>
      <c r="R32" s="403"/>
      <c r="S32" s="402"/>
      <c r="T32" s="403"/>
      <c r="U32" s="362"/>
      <c r="V32" s="365"/>
      <c r="W32" s="365"/>
      <c r="X32" s="365"/>
      <c r="Y32" s="366"/>
      <c r="Z32" s="408"/>
      <c r="AA32" s="409"/>
      <c r="AB32" s="409"/>
      <c r="AC32" s="409"/>
      <c r="AD32" s="409"/>
      <c r="AE32" s="410"/>
    </row>
    <row r="33" spans="1:31" ht="17.399999999999999">
      <c r="A33" s="427" t="s">
        <v>153</v>
      </c>
      <c r="B33" s="428"/>
      <c r="C33" s="428"/>
      <c r="D33" s="429"/>
      <c r="E33" s="430">
        <f>SUM(E32:E32)</f>
        <v>0</v>
      </c>
      <c r="F33" s="431"/>
      <c r="G33" s="400">
        <f>SUM(G32:G32)</f>
        <v>0</v>
      </c>
      <c r="H33" s="401"/>
      <c r="I33" s="400">
        <f>SUM(I32:I32)</f>
        <v>0</v>
      </c>
      <c r="J33" s="401"/>
      <c r="K33" s="400">
        <f>SUM(K32:K32)</f>
        <v>0</v>
      </c>
      <c r="L33" s="401"/>
      <c r="M33" s="400">
        <f>SUM(M32:M32)</f>
        <v>0</v>
      </c>
      <c r="N33" s="401"/>
      <c r="O33" s="400">
        <f>SUM(O32:O32)</f>
        <v>0</v>
      </c>
      <c r="P33" s="401"/>
      <c r="Q33" s="400">
        <f>SUM(Q32:Q32)</f>
        <v>0</v>
      </c>
      <c r="R33" s="401"/>
      <c r="S33" s="400">
        <f>SUM(S32:S32)</f>
        <v>0</v>
      </c>
      <c r="T33" s="401"/>
      <c r="U33" s="420"/>
      <c r="V33" s="421"/>
      <c r="W33" s="421"/>
      <c r="X33" s="421"/>
      <c r="Y33" s="422"/>
      <c r="Z33" s="423"/>
      <c r="AA33" s="424"/>
      <c r="AB33" s="424"/>
      <c r="AC33" s="424"/>
      <c r="AD33" s="424"/>
      <c r="AE33" s="425"/>
    </row>
    <row r="34" spans="1:31" s="216" customFormat="1" ht="17.399999999999999">
      <c r="A34" s="211"/>
      <c r="B34" s="211"/>
      <c r="C34" s="211"/>
      <c r="D34" s="211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8"/>
      <c r="V34" s="98"/>
      <c r="W34" s="98"/>
      <c r="X34" s="98"/>
      <c r="Y34" s="98"/>
      <c r="Z34" s="99"/>
      <c r="AA34" s="99"/>
      <c r="AB34" s="99"/>
      <c r="AC34" s="99"/>
      <c r="AD34" s="99"/>
      <c r="AE34" s="99"/>
    </row>
    <row r="35" spans="1:31" s="216" customFormat="1" ht="17.399999999999999">
      <c r="A35" s="211"/>
      <c r="B35" s="211"/>
      <c r="C35" s="211"/>
      <c r="D35" s="211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8"/>
      <c r="V35" s="98"/>
      <c r="W35" s="98"/>
      <c r="X35" s="98"/>
      <c r="Y35" s="98"/>
      <c r="Z35" s="99"/>
      <c r="AA35" s="99"/>
      <c r="AB35" s="99"/>
      <c r="AC35" s="99"/>
      <c r="AD35" s="99"/>
      <c r="AE35" s="99"/>
    </row>
    <row r="36" spans="1:31" s="216" customFormat="1" ht="17.399999999999999">
      <c r="A36" s="211"/>
      <c r="B36" s="211"/>
      <c r="C36" s="211"/>
      <c r="D36" s="211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8"/>
      <c r="V36" s="98"/>
      <c r="W36" s="98"/>
      <c r="X36" s="98"/>
      <c r="Y36" s="98"/>
      <c r="Z36" s="99"/>
      <c r="AA36" s="99"/>
      <c r="AB36" s="99"/>
      <c r="AC36" s="99"/>
      <c r="AD36" s="99"/>
      <c r="AE36" s="99"/>
    </row>
    <row r="37" spans="1:31" s="216" customFormat="1" ht="17.399999999999999">
      <c r="A37" s="211"/>
      <c r="B37" s="211"/>
      <c r="C37" s="211"/>
      <c r="D37" s="211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8"/>
      <c r="V37" s="98"/>
      <c r="W37" s="98"/>
      <c r="X37" s="98"/>
      <c r="Y37" s="98"/>
      <c r="Z37" s="99"/>
      <c r="AA37" s="99"/>
      <c r="AB37" s="99"/>
      <c r="AC37" s="99"/>
      <c r="AD37" s="99"/>
      <c r="AE37" s="99"/>
    </row>
    <row r="38" spans="1:31" ht="18">
      <c r="A38" s="395" t="s">
        <v>538</v>
      </c>
      <c r="B38" s="395"/>
      <c r="C38" s="395"/>
      <c r="D38" s="395"/>
      <c r="E38" s="395"/>
      <c r="F38" s="395"/>
      <c r="L38" s="396" t="s">
        <v>380</v>
      </c>
      <c r="M38" s="396"/>
      <c r="N38" s="396"/>
      <c r="O38" s="396"/>
      <c r="P38" s="396"/>
      <c r="Q38" s="396"/>
      <c r="R38" s="149"/>
      <c r="S38" s="149"/>
      <c r="T38" s="149"/>
      <c r="AA38" s="266" t="s">
        <v>398</v>
      </c>
      <c r="AB38" s="266"/>
      <c r="AC38" s="266"/>
    </row>
    <row r="39" spans="1:31" ht="18">
      <c r="A39" s="380" t="s">
        <v>137</v>
      </c>
      <c r="B39" s="380"/>
      <c r="C39" s="380"/>
      <c r="D39" s="380"/>
      <c r="L39" s="252" t="s">
        <v>381</v>
      </c>
      <c r="M39" s="252"/>
      <c r="N39" s="252"/>
      <c r="O39" s="252"/>
      <c r="P39" s="252"/>
      <c r="Q39" s="252"/>
      <c r="R39" s="82"/>
      <c r="S39" s="82"/>
      <c r="T39" s="82"/>
      <c r="AA39" s="381" t="s">
        <v>139</v>
      </c>
      <c r="AB39" s="381"/>
      <c r="AC39" s="381"/>
    </row>
    <row r="40" spans="1:31"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</row>
  </sheetData>
  <mergeCells count="90">
    <mergeCell ref="AA38:AC38"/>
    <mergeCell ref="A26:AE26"/>
    <mergeCell ref="O33:P33"/>
    <mergeCell ref="Q33:R33"/>
    <mergeCell ref="S33:T33"/>
    <mergeCell ref="U33:Y33"/>
    <mergeCell ref="Z33:AE33"/>
    <mergeCell ref="AD27:AE27"/>
    <mergeCell ref="A33:D33"/>
    <mergeCell ref="E33:F33"/>
    <mergeCell ref="G33:H33"/>
    <mergeCell ref="I33:J33"/>
    <mergeCell ref="K33:L33"/>
    <mergeCell ref="Z31:AE31"/>
    <mergeCell ref="U32:Y32"/>
    <mergeCell ref="U31:Y31"/>
    <mergeCell ref="O31:P31"/>
    <mergeCell ref="B20:F20"/>
    <mergeCell ref="B21:F21"/>
    <mergeCell ref="Z28:AE30"/>
    <mergeCell ref="K29:L30"/>
    <mergeCell ref="M29:N30"/>
    <mergeCell ref="O29:T29"/>
    <mergeCell ref="O30:P30"/>
    <mergeCell ref="Q30:R30"/>
    <mergeCell ref="S30:T30"/>
    <mergeCell ref="U28:Y30"/>
    <mergeCell ref="B22:F22"/>
    <mergeCell ref="Q31:R31"/>
    <mergeCell ref="M31:N31"/>
    <mergeCell ref="I32:J32"/>
    <mergeCell ref="K32:L32"/>
    <mergeCell ref="Z32:AE32"/>
    <mergeCell ref="M32:N32"/>
    <mergeCell ref="O32:P32"/>
    <mergeCell ref="Q32:R32"/>
    <mergeCell ref="A38:F38"/>
    <mergeCell ref="L38:Q38"/>
    <mergeCell ref="G28:H30"/>
    <mergeCell ref="I28:J30"/>
    <mergeCell ref="K28:T28"/>
    <mergeCell ref="M33:N33"/>
    <mergeCell ref="S31:T31"/>
    <mergeCell ref="S32:T32"/>
    <mergeCell ref="C31:D31"/>
    <mergeCell ref="E31:F31"/>
    <mergeCell ref="G31:H31"/>
    <mergeCell ref="I31:J31"/>
    <mergeCell ref="K31:L31"/>
    <mergeCell ref="C32:D32"/>
    <mergeCell ref="E32:F32"/>
    <mergeCell ref="G32:H32"/>
    <mergeCell ref="L39:Q39"/>
    <mergeCell ref="AB7:AE7"/>
    <mergeCell ref="Q7:Q8"/>
    <mergeCell ref="A39:D39"/>
    <mergeCell ref="AA39:AC39"/>
    <mergeCell ref="AA7:AA8"/>
    <mergeCell ref="A24:F24"/>
    <mergeCell ref="A23:F23"/>
    <mergeCell ref="A6:A8"/>
    <mergeCell ref="W7:Z7"/>
    <mergeCell ref="V7:V8"/>
    <mergeCell ref="G6:K6"/>
    <mergeCell ref="A28:A30"/>
    <mergeCell ref="B28:B30"/>
    <mergeCell ref="C28:D30"/>
    <mergeCell ref="E28:F30"/>
    <mergeCell ref="A3:AE3"/>
    <mergeCell ref="B9:F9"/>
    <mergeCell ref="B10:F10"/>
    <mergeCell ref="B14:F14"/>
    <mergeCell ref="R7:U7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B19:F19"/>
    <mergeCell ref="H7:K7"/>
    <mergeCell ref="B15:F15"/>
    <mergeCell ref="B16:F16"/>
    <mergeCell ref="B17:F17"/>
    <mergeCell ref="B18:F18"/>
  </mergeCells>
  <pageMargins left="1.1811023622047245" right="0.11811023622047245" top="0.78740157480314965" bottom="0.55118110236220474" header="0.31496062992125984" footer="0"/>
  <pageSetup paperSize="9" scale="3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MMaglich</cp:lastModifiedBy>
  <cp:revision/>
  <cp:lastPrinted>2025-12-19T13:42:23Z</cp:lastPrinted>
  <dcterms:created xsi:type="dcterms:W3CDTF">2003-03-13T16:00:22Z</dcterms:created>
  <dcterms:modified xsi:type="dcterms:W3CDTF">2026-02-12T05:46:23Z</dcterms:modified>
  <cp:category/>
  <cp:contentStatus/>
</cp:coreProperties>
</file>