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555" windowHeight="8700" activeTab="0"/>
  </bookViews>
  <sheets>
    <sheet name="по тендеру" sheetId="1" r:id="rId1"/>
    <sheet name="без тендера" sheetId="2" r:id="rId2"/>
    <sheet name=" по тендеру тис.грн." sheetId="3" r:id="rId3"/>
  </sheets>
  <definedNames>
    <definedName name="_xlnm.Print_Area" localSheetId="0">'по тендеру'!$A$1:$I$108</definedName>
  </definedNames>
  <calcPr fullCalcOnLoad="1"/>
</workbook>
</file>

<file path=xl/sharedStrings.xml><?xml version="1.0" encoding="utf-8"?>
<sst xmlns="http://schemas.openxmlformats.org/spreadsheetml/2006/main" count="2763" uniqueCount="754">
  <si>
    <t>Джерело фінансування</t>
  </si>
  <si>
    <t xml:space="preserve">ЗАТВЕРЖЕНО </t>
  </si>
  <si>
    <t>Наказ Міністерства</t>
  </si>
  <si>
    <t>економіки України</t>
  </si>
  <si>
    <t>26.07.2010 №922</t>
  </si>
  <si>
    <t>Код  КЕКВ  (для бюджетних коштів )</t>
  </si>
  <si>
    <t xml:space="preserve">Процедура закупівлі </t>
  </si>
  <si>
    <t xml:space="preserve">Орієнтовний  початок проведення  процедури закупівлі </t>
  </si>
  <si>
    <t>Примітки</t>
  </si>
  <si>
    <t>Міністерства економічного</t>
  </si>
  <si>
    <t>розвитку і торгівлі України</t>
  </si>
  <si>
    <t xml:space="preserve">(у редакції наказу </t>
  </si>
  <si>
    <t>від 27.12.2011 № 428)</t>
  </si>
  <si>
    <t>*</t>
  </si>
  <si>
    <t xml:space="preserve">Предмет закупівлі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</si>
  <si>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</si>
  <si>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</si>
  <si>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</si>
  <si>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</si>
  <si>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</si>
  <si>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</si>
  <si>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</si>
  <si>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</si>
  <si>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</si>
  <si>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</si>
  <si>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місц.бюдж.</t>
  </si>
  <si>
    <t>відкриті торги</t>
  </si>
  <si>
    <t>грудень 2013 року</t>
  </si>
  <si>
    <t>Гнєзділова В.С.</t>
  </si>
  <si>
    <t>Очікувана вартість предмета закупівлі  (грн.)</t>
  </si>
  <si>
    <t xml:space="preserve">          на 2014 рік управління освіти Чернігівської міської ради ЄДРПОУ 02147598</t>
  </si>
  <si>
    <t>10.41.5 - Олії рафіновані (олія соняшникова рафінована)</t>
  </si>
  <si>
    <t>10.12.2 - М'ясо свійської птиці, заморожене (тушки курей, окіст курячий )</t>
  </si>
  <si>
    <t>10.12.1 - М'ясо свійської птиці, свіже чи охолоджене (тушки курей охолоджені, окіст курячий охолоджений, філе куряче охолоджене)</t>
  </si>
  <si>
    <t>10.51.4 - Сир сичужний та кисломолочний сир (сир сичужний та кисломолочний )</t>
  </si>
  <si>
    <t>11.</t>
  </si>
  <si>
    <t>12.</t>
  </si>
  <si>
    <t>13.</t>
  </si>
  <si>
    <t>14.</t>
  </si>
  <si>
    <t>10.32.1 - Соки фруктові та овочеві (соки фруктові та овочеві)</t>
  </si>
  <si>
    <t>10.61.2 - Борошно зернових і овочевих культур; їх суміші (борошно пшеничне вищого ґатунку)</t>
  </si>
  <si>
    <t>10.61.3 - Крупи, крупка, гранули та інші продукти з зерна зернових культур (крупи )</t>
  </si>
  <si>
    <t>10.81.1 - Цукор-сирець, тростинний і очищений тростинний чи буряковий цукор (сахароза); меляса (цукор пісок)</t>
  </si>
  <si>
    <t>10.73.1 - Макарони, локшина, кускус і подібні борошняні вироби (макаронні вироби вищого ґатунку)</t>
  </si>
  <si>
    <t>10.72.1 - Вироби хлібобулочні, зниженої вологості, та кондитерські, борошняні, тривалого зберігання (пряники, печиво, вафлі, сухарі ранірувальні)</t>
  </si>
  <si>
    <t>10.39.1 - Плоди та овочі, оброблені та законсервовані, крім картоплі (томати мариновані без уксуса, огірки мариновані, капуста квашена, паста томатна, ікра кабачкова, огірки квашені)</t>
  </si>
  <si>
    <t>10.39.2 - Плоди й горіхи, оброблені та законсервовані (повидло, джеми, чернослив сушений, сухофрукти, курага ,родзинки)</t>
  </si>
  <si>
    <t>01.13.1 - Коренеплоди та бульби їстівні з високим умістом крохмалю та інуліну (картопля)</t>
  </si>
  <si>
    <t>01.13.1 - Овочі листкові (капуста білокачанна, кріп та петрушка зелені)</t>
  </si>
  <si>
    <t>01.13.4 - Овочі коренепледні, цибулинні та бульбоплідні (морква столова, часник, цибуля ріпчаста, цибуля зелена, редис, буряк столовий)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</si>
  <si>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</si>
  <si>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</si>
  <si>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</si>
  <si>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</si>
  <si>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</si>
  <si>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</si>
  <si>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</si>
  <si>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</si>
  <si>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</si>
  <si>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</si>
  <si>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</si>
  <si>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Хотульова А.І.</t>
  </si>
  <si>
    <t>Голова комітету з конкурсних торгів        _______________           М.Ф.Рубан</t>
  </si>
  <si>
    <t>Секретар комітету з конкурсних торгів    _______________           О.М.Ляховець</t>
  </si>
  <si>
    <t>м.п.</t>
  </si>
  <si>
    <t>Підрозділ (особа) та/ або підрозділ (и), (особи), яких пла- нується за- лучити до підготовки  документації конкурсних торгів(запиту цінових пропозицій кваліфікаційної документації )</t>
  </si>
  <si>
    <t>№з/п</t>
  </si>
  <si>
    <t>код 35.11.1 - Електрична енергія (електрична енергія)</t>
  </si>
  <si>
    <t>в одного учасника</t>
  </si>
  <si>
    <t>26.</t>
  </si>
  <si>
    <t>код 36.00.2 - Оброблення та розподіляння води трубопроводами (послуги з водопостачання та водовідведення)</t>
  </si>
  <si>
    <t>27.</t>
  </si>
  <si>
    <t>28.</t>
  </si>
  <si>
    <t>код 06.20.1 - Газ природний, скраплений або в газоподібному стані (постачання природного газу)</t>
  </si>
  <si>
    <r>
      <t xml:space="preserve"> </t>
    </r>
    <r>
      <rPr>
        <b/>
        <sz val="10"/>
        <color indexed="8"/>
        <rFont val="Times New Roman"/>
        <family val="1"/>
      </rPr>
      <t xml:space="preserve">код 56.29.2 - Послуги їдалень (послуги з організації і забезпечення харчування учнів в загальноосвітніх навчальних закладах м.Чернігова) </t>
    </r>
  </si>
  <si>
    <t xml:space="preserve">код 01.47.2 - Яйця у шкаралупі, свіжі (яйця курячі, перша категорія С1) </t>
  </si>
  <si>
    <t xml:space="preserve">код 10.13.1 - Консерви та готові страви з м’яса, м’ясних субпродуктів чи крові (ковбаси варені в/ґ, сосиски варені в/ґ) </t>
  </si>
  <si>
    <r>
      <t xml:space="preserve"> </t>
    </r>
    <r>
      <rPr>
        <b/>
        <sz val="10"/>
        <color indexed="8"/>
        <rFont val="Times New Roman"/>
        <family val="1"/>
      </rPr>
      <t>код 10.11.3 - М’ясо заморожене та заморожені харчові субпродукти; м’ясо та харчові субпродукти, інші (яловичина , печінка яловича, свинина )</t>
    </r>
  </si>
  <si>
    <t>код 10.20.1 - Продукція рибна, свіжа, охолоджена чи заморожена (риба свіжеморожена б/г)</t>
  </si>
  <si>
    <t xml:space="preserve">код 10.51.1 - Молоко та вершки, рідинні, оброблені (молоко пастеризоване, 3,2% жир., пакети 0,5 л, 1 л) </t>
  </si>
  <si>
    <t xml:space="preserve">код 10.51.3 - Масло вершкове та молочні пасти (масло вершкове 72,5% жир.) </t>
  </si>
  <si>
    <t xml:space="preserve">код 10.51.5 - Продукти молочні, інші (сметана, кефір, молоко згущене ) </t>
  </si>
  <si>
    <t xml:space="preserve">код 10.71.1 - Вироби хлібобулочні, кондитерські та кулінарні, борошняні, нетривалого зберігання (хліб житній, хліб пшеничний, батон) </t>
  </si>
  <si>
    <t>код 38.11.2 - Збирання безпечних відходів, непридатних для вторинного викормстовування (вивіз твердих побутових відходів (сміття))</t>
  </si>
  <si>
    <t>код 61.10.1 - Послуги щодо передавання даних і повідомлень ( телекомунікаційні послуги)</t>
  </si>
  <si>
    <t>код 35.30.1 - Пара та гаряча вода; постачання пари та гарячої води  (виробництво, транспортування, постачання теплової енергії для опалення та підігріву води)</t>
  </si>
  <si>
    <t xml:space="preserve">код 86.10.1 - Послуги лікувальних закладів (медичний огляд працівників загальноосвітніх та дошкільних навчальних закладів м.Чернігова) </t>
  </si>
  <si>
    <t>(два мільйони двісті сімнадцять тис. сімсот сорок три грн.)</t>
  </si>
  <si>
    <t>(триста сорок дві тис. вісімсот сім грн.)</t>
  </si>
  <si>
    <t>(дев'ять мільйонів вісімсот шість тис.п'ятсот вісімдесят вісім грн.)</t>
  </si>
  <si>
    <t>( шістсот тридцять шість тис. грн.)</t>
  </si>
  <si>
    <t>(шістосот тридцять п'ять тис.сімсот тридцять п'ять грн.)</t>
  </si>
  <si>
    <t>(дев'ятсот п'ятдесят шість тис. грн.)</t>
  </si>
  <si>
    <t>( два мільйони триста сорок тис. грн.)</t>
  </si>
  <si>
    <t>(чотириста двадцять дві тис. сімсот дев'яносто грн.)</t>
  </si>
  <si>
    <t>(один мільйон сто тридцять тис. сімсот грн.)</t>
  </si>
  <si>
    <t>( чотириста три тис. грн.)</t>
  </si>
  <si>
    <t>(триста шістдесят три тис.дев'ятсот грн.)</t>
  </si>
  <si>
    <t>(один мільйон двісті сорок одна тис. шістосот грн.)</t>
  </si>
  <si>
    <t>(п'ятсот двадцять сім тис. дев'ятсот грн.)</t>
  </si>
  <si>
    <t xml:space="preserve"> (сто тридцять дев'ять тис. двісті грн.)</t>
  </si>
  <si>
    <t>(п'ятсот шістдесят вісім тис.шістосот тридцять п'ять грн.)</t>
  </si>
  <si>
    <t>(чотириста дев'яносто п'ять тис. грн.)</t>
  </si>
  <si>
    <t>(двісті двадцять дев'ять тис. чотириста грн.)</t>
  </si>
  <si>
    <t>(двісті сорок сім тисяч триста сімдесят грн.)</t>
  </si>
  <si>
    <t>(двісті сімдесят три тис.п'ятсот сімдесят грн.)</t>
  </si>
  <si>
    <t>(чотириста дев'яносто одна тис. триста тринадцять грн.)</t>
  </si>
  <si>
    <t xml:space="preserve">код 95.22.1 - Ремонтування господарсько-побутових приладів і устаткування домашнього та садового вжитку (послуги з ремонту електричних та побутових товарів) </t>
  </si>
  <si>
    <t>сто дванадцять тис. шістсот шістдесят грн.)</t>
  </si>
  <si>
    <t>(сто шістдесят п'ять тис. чотириста сімдесят шість грн.)</t>
  </si>
  <si>
    <t>29.</t>
  </si>
  <si>
    <t>30.</t>
  </si>
  <si>
    <t>31.</t>
  </si>
  <si>
    <t>32.</t>
  </si>
  <si>
    <t>33.</t>
  </si>
  <si>
    <t>січень-лютий 2014 р.</t>
  </si>
  <si>
    <t>протягом року</t>
  </si>
  <si>
    <t>ВСЬОГО:</t>
  </si>
  <si>
    <t>код 69.20.2 - Послуги щодо бухгалтерського обліку (кількісно-сумовий облік продуктів харчування в ДНЗ освіти, облік розрахунків по батьківській платі в ДНЗ освіти, облік відвідування ДНЗ освіти)</t>
  </si>
  <si>
    <t>січень 2014 року</t>
  </si>
  <si>
    <t>сума за договором</t>
  </si>
  <si>
    <t xml:space="preserve"> діяльності  комітету з конкурсних торгів</t>
  </si>
  <si>
    <t>(закупівля товарів, робіт та послуг без проведення конкурсних торгів)</t>
  </si>
  <si>
    <t>Найменування визначеного предмета закупівлі</t>
  </si>
  <si>
    <t>спец/заг рахунок</t>
  </si>
  <si>
    <t xml:space="preserve">Очікуваний строк здійснення закупівлі </t>
  </si>
  <si>
    <t>Очікувана вартість предмета закупівлі (тис.грн.)</t>
  </si>
  <si>
    <t>міський бюджет</t>
  </si>
  <si>
    <t>Примітка</t>
  </si>
  <si>
    <t>КЕКВ</t>
  </si>
  <si>
    <t xml:space="preserve"> М'ясо та харчові субпродукти свійської птиці (філе курей охолоджене) </t>
  </si>
  <si>
    <t xml:space="preserve">М"ясопродукти ( ковбаси варені вищого гатунку, сосиски варені вищого гатунку) </t>
  </si>
  <si>
    <t>Сир сичужний та кисломолочний</t>
  </si>
  <si>
    <t xml:space="preserve">Яйця птиці (яйця курячі) </t>
  </si>
  <si>
    <t xml:space="preserve">Соки фруктові та овочеві </t>
  </si>
  <si>
    <t xml:space="preserve"> Ремонтування господарсько-побутових приладів і устаткування домашнього та садового вжитку (послуги з ремонту електричних та побутових товарів) </t>
  </si>
  <si>
    <t xml:space="preserve">Послуги лікувальних закладів (медичний огляд працівників загальноосвітніх та дошкільних навчальних закладів м.Чернігова) </t>
  </si>
  <si>
    <t>Послуги щодо бухгалтерського обліку (кількісно-сумовий облік продуктів харчування в ДНЗ освіти, облік розрахунків по батьківській платі в ДНЗ освіти, облік відвідування ДНЗ освіти)</t>
  </si>
  <si>
    <t>січень-лютий 2014 р</t>
  </si>
  <si>
    <t>Пара та гаряча вода; постачання пари та гарячої води  (виробництво, транспортування, постачання теплової енергії для опалення та підігріву води)</t>
  </si>
  <si>
    <t xml:space="preserve"> Пара та гаряча вода; постачання пари та гарячої води  (виробництво, транспортування, постачання теплової енергії для опалення та підігріву води)</t>
  </si>
  <si>
    <t>Електрична енергія (електрична енергія)</t>
  </si>
  <si>
    <t xml:space="preserve">Послуги з передавання даних і повідомлень (телекомунікаційні послуги) </t>
  </si>
  <si>
    <t xml:space="preserve">Газ природний (постачання природного газу) </t>
  </si>
  <si>
    <t>Додаткова угода на суму не більше 20% визначеної у договорі №345/146 б-Ч від 26.02.2013р.</t>
  </si>
  <si>
    <t xml:space="preserve"> Послуги з розподілу води ( послуги з водопостачання та водовідведення) </t>
  </si>
  <si>
    <t>Додаткова угода з ТОВ фірма "Технова" на суму не більше 20% визначеної у договорі №274/288/3/2 від 26.02.2013р.</t>
  </si>
  <si>
    <t>Додаткова угода з  ПАТ "Облтеплокомуненерго"на суму не більше 20% визначеної у договорі №1-0133Т1 від 26.02.2013р.</t>
  </si>
  <si>
    <t>Додаткова угода з "Чернігівським національним Технологічним університетом на суму не більше 20% визначеної у договорі №178 від 26.02.2013р.</t>
  </si>
  <si>
    <t>Додаткова угода з ПАТ "Чернігівобленерго" на суму не більше 20% визначеної у договорі №51-Т/13 від 26.02.2013р.</t>
  </si>
  <si>
    <t>Додаткова угода з ПАТ "Укртелеком"на суму не більше 20% визначеної у договорі №1 від 26.02.2013р.</t>
  </si>
  <si>
    <t>Додаткова угода з КП "Чернігівводоканал" на суму не більше 20% визначеної у договорі №4967/4977 від 26.02.2013р.</t>
  </si>
  <si>
    <t>Додаткова угода з ТОВ "Альянс Маркет"на суму не більше 20% визначеної у договорі №386 від 29.12.2012р.</t>
  </si>
  <si>
    <t>Додаткова угода з ПАТ "Базис"на суму не більше 20% визначеної у договорі №398 від 29.12.2012р.</t>
  </si>
  <si>
    <t>Додаткова угода з ПАТ "Базис"на суму не більше 20% визначеної у договорі №383 від 29.12.2012р.</t>
  </si>
  <si>
    <t>Додаткова угода з ПП "ТД Терещенко"на суму не більше 20% визначеної у договорі №384 від 29.12.2012р.</t>
  </si>
  <si>
    <t>Додаткова угода з ПрАТ "Чернігівській ремонтно-монтажний комбінат" на суму не більше 20% визначеної у договорі №19 від 12.08.2013р.</t>
  </si>
  <si>
    <t>Додаткова угода з ПСК"Інфоцентр" ЧОССТ на суму не більше 20% визначеної у договорі №18 від 12.08.2013р.</t>
  </si>
  <si>
    <t>Додаткова угода з Чернігівською міською лікарнею №1 ЧМР на суму не більше 20% визначеної у договорі №14/53 від 01.07.2013р.</t>
  </si>
  <si>
    <t>заг.рах</t>
  </si>
  <si>
    <t>заг/спец. рах.</t>
  </si>
  <si>
    <t xml:space="preserve"> Управління освіти Чернігівської міської ради на 2014 рік</t>
  </si>
  <si>
    <t>Додаткова угода з ТОВ "Альянс Маркет" на суму не більше 20% визначеної у договорі №394 від 29.12.2012р.</t>
  </si>
  <si>
    <t>(три мільйони вісімсот сорок сім тисяч двісті двадцять одна грн. )</t>
  </si>
  <si>
    <t xml:space="preserve"> Пара та гаряча вода; постачання пари та гарячої води  ( Деснянська рада)</t>
  </si>
  <si>
    <t>Електрична енергія  (СП "Енергозбут")</t>
  </si>
  <si>
    <t>Електрична енергія (ПАТ "Чернігівобленерго" ВП Чернігівський район електричних мереж)</t>
  </si>
  <si>
    <t>Електрична енергія (Деснянська рада)</t>
  </si>
  <si>
    <t>Оброблення та розподіляння води трубопроводами (послуги з водопостачання та водовідведення) (Деснянська рада)</t>
  </si>
  <si>
    <t>Послуги щодо передавання даних і повідомлень ( телекомунікаційні послуги) (ТОВ "НіоКом")</t>
  </si>
  <si>
    <t>Послуги щодо передавання даних і повідомлень ( телекомунікаційні послуги) (Ніжинська дистанція сигналізації та зв'язку )</t>
  </si>
  <si>
    <t>код 10.20.2. Риба, оброблена чи законсервована іншим способом; ікра осетрових та замінники ікри ( оселедці солені, консерви рибні)</t>
  </si>
  <si>
    <t>код 10.82.1 - Какао терте, какао масло, жири й олія, какао порошок (какао -порошок)</t>
  </si>
  <si>
    <t>код 10.89.1 - Супи, яйця, дріжджі та інші харчові продукти; екстакти та соки з м'яса, риби й водяних безхребетних ( дріжджі хлібопекарські свіжі)</t>
  </si>
  <si>
    <t>код 10.62.1 - Крохмалі і крохмалепродукти; цукор і цукрові сиропи, н.в.і.у. ( крохмаль картопляний)</t>
  </si>
  <si>
    <t>код 10.83.1. - Чай і кава, оброблені ( чай, кавовий напій)</t>
  </si>
  <si>
    <t>01.11.7 - Овочі бобові сушені (горох)</t>
  </si>
  <si>
    <t>01.23.1 - Плоди цитрусових культур (лимони, апельсини, мандарини)</t>
  </si>
  <si>
    <t>код 01.24.1 - Яблука (яблука)</t>
  </si>
  <si>
    <t>код 01.22.1 - Плоди тропічних і субтропічних культур (банани)</t>
  </si>
  <si>
    <t>код 10.84.3 - Сіль харчова (сіль харчова )</t>
  </si>
  <si>
    <t>ВСЬОГО по КЕКВ 2270:</t>
  </si>
  <si>
    <t>10.84.2 Прянощі, оброблені (лист лавровий сухий, ванільний цукор, кріп та петрушка сухі, сода харчова, лимонна кислота)</t>
  </si>
  <si>
    <t>Вироби макаронні (макаронні вироби вищого ґатунку)</t>
  </si>
  <si>
    <t>Додаткова угода з ПП "ТД Терещенко"на суму не більше 20% визначеної у договорі №392 від 29.12.2012р.</t>
  </si>
  <si>
    <t xml:space="preserve">Продукти готові та консерви плодові </t>
  </si>
  <si>
    <t>Додаткова угода з ПАТ "Базис"на суму не більше 20% визначеної у договорі №402 від 29.12.2012р.</t>
  </si>
  <si>
    <t>Продукти готові та консерви овочеві</t>
  </si>
  <si>
    <t>Додаткова угода з ПАТ "Базис"на суму не більше 20% визначеної у договорі №401 від 29.12.2012р.</t>
  </si>
  <si>
    <t>Додаткова угода з  ПАТ "Облтеплокомуненерго"на суму не більше 20% визначеної у договорі №1-0826/Т1 від 26.02.2013р.</t>
  </si>
  <si>
    <t>Договір з ТОВ "РОНДО ТРЕЙД" від 22.01.2013 року №57</t>
  </si>
  <si>
    <t>Договір з ТОВ "АЛЬЯНС МАРКЕТ" від 23.01.2014 р. №65</t>
  </si>
  <si>
    <t>Договір з ТОВ "АЛЬЯНС МАРКЕТ" від 23.01.2014 р. №66</t>
  </si>
  <si>
    <t>Договір з ТОВ "АЛЬЯНС МАРКЕТ" від 23.01.2014 р. №67</t>
  </si>
  <si>
    <t>Договір з ПАТ "Базис" від 23.01.2014р. №58</t>
  </si>
  <si>
    <t>Договір з ПАТ "Базис" від 23.01.2014р. №59</t>
  </si>
  <si>
    <t>Договір з ПАТ "Базис" від 23.01.2014р. №60</t>
  </si>
  <si>
    <t>Договір з ПАТ "Базис" від 23.01.2014р. №61</t>
  </si>
  <si>
    <t>Договір з ПАТ "Базис" від 23.01.2014р. №62</t>
  </si>
  <si>
    <t>Договір з ПАТ "Базис" від 23.01.2014р. №63</t>
  </si>
  <si>
    <t>Договір з ПАТ "Базис" від 23.01.2014р. №99,5</t>
  </si>
  <si>
    <t>Капітальний ремонт фасаду ЗНЗ№1</t>
  </si>
  <si>
    <t>Капітальний ремонт фасаду ЗНЗ№4</t>
  </si>
  <si>
    <t>Капітальний ремонт фасаду ЗНЗ№16</t>
  </si>
  <si>
    <t>Капітальний ремонт фасаду ЗНЗ№20</t>
  </si>
  <si>
    <t>Капітальний ремонт фасаду ЗНЗ№34</t>
  </si>
  <si>
    <t>Капітальний ремонт центрального входу ЗНЗ№27</t>
  </si>
  <si>
    <t>Капітальний ремонт підлоги ЗНЗ№21</t>
  </si>
  <si>
    <t>Капітальний ремонт туалетів ЗНЗ№20</t>
  </si>
  <si>
    <t>Капітальний ремонт туалетів ЗНЗ№27</t>
  </si>
  <si>
    <t>Капітальний ремонт покрівлі ЗНЗ№3</t>
  </si>
  <si>
    <t>Капітальний ремонт покрівлі ЗНЗ№12</t>
  </si>
  <si>
    <t>Капітальний ремонт покрівлі ЗНЗ№15</t>
  </si>
  <si>
    <t>Капітальний ремонт покрівлі ЗНЗ№24</t>
  </si>
  <si>
    <t>Капітальний ремонт покрівлі ЗНЗ№27</t>
  </si>
  <si>
    <t>Капітальний ремонт покрівлі ЗНЗ№28</t>
  </si>
  <si>
    <t>Капітальний ремонт покрівлі ЗНЗ№30</t>
  </si>
  <si>
    <t>Капітальний ремонт покрівлі ЗНЗ№31</t>
  </si>
  <si>
    <t>Капітальний ремонт покрівлі ЗНЗ№34</t>
  </si>
  <si>
    <t>Капітальний ремонт покрівлі ЗНЗ№35</t>
  </si>
  <si>
    <t>Капітальний ремонт покрівлі ЗНЗ№36</t>
  </si>
  <si>
    <t>Заміна вікон та вітражів ЗНЗ№3</t>
  </si>
  <si>
    <t>Заміна вікон та вітражів ЗНЗ№4</t>
  </si>
  <si>
    <t>Заміна вікон та вітражів ЗНЗ№5</t>
  </si>
  <si>
    <t>Заміна вікон та вітражів, дверей ЗНЗ№6</t>
  </si>
  <si>
    <t>Заміна вікон та вітражів ЗНЗ№15</t>
  </si>
  <si>
    <t>Заміна вікон та вітражів ЗНЗ№16</t>
  </si>
  <si>
    <t>Заміна вікон ЗНЗ№23</t>
  </si>
  <si>
    <t>Заміна вікон та вітражів ЗНЗ№24</t>
  </si>
  <si>
    <t>Заміна вікон та вітражів ЗНЗ№29</t>
  </si>
  <si>
    <t>Заміна газових котлів ЗНЗ№23</t>
  </si>
  <si>
    <t>Заміна ділянок трубопроводів ЗНЗ№23</t>
  </si>
  <si>
    <t>Капітальний ремонт ґанку ЗНЗ№24</t>
  </si>
  <si>
    <t>Капітальний ремонт бсейнів ЗНЗ№11</t>
  </si>
  <si>
    <t>Капітальний ремонт бсейнів ЗНЗ№12</t>
  </si>
  <si>
    <t>Капітальний ремонт бсейнів ЗНЗ№15</t>
  </si>
  <si>
    <t>Капітальний ремонт бсейнів ЗНЗ№19</t>
  </si>
  <si>
    <t>Капітальний ремонт бсейнів ЗНЗ№33</t>
  </si>
  <si>
    <t>Заміна вікон ЗНЗ№12</t>
  </si>
  <si>
    <t>Заміна вікон ЗНЗ№20</t>
  </si>
  <si>
    <t>Заміна вікон ЗНЗ№21</t>
  </si>
  <si>
    <t>Капітальний ремонт покрівлі ДНЗ№10</t>
  </si>
  <si>
    <t>Капітальний ремонт покрівлі ДНЗ№14</t>
  </si>
  <si>
    <t>Капітальний ремонт покрівлі ДНЗ№22</t>
  </si>
  <si>
    <t>Капітальний ремонт покрівлі ДНЗ№37</t>
  </si>
  <si>
    <t>Капітальний ремонт покрівлі ДНЗ№38</t>
  </si>
  <si>
    <t>Капітальний ремонт покрівлі ДНЗ№59</t>
  </si>
  <si>
    <t>Капітальний ремонт покрівлі ДНЗ№60</t>
  </si>
  <si>
    <t>Капітальний ремонт покрівлі ДНЗ№62</t>
  </si>
  <si>
    <t>Капітальний ремонт покрівлі ДНЗ№70</t>
  </si>
  <si>
    <t>Капітальний ремонт покрівлі ДНЗ№76</t>
  </si>
  <si>
    <t>Капітальний ремонт покрівлі ДНЗ№77</t>
  </si>
  <si>
    <t>Заміна газового обладнання на кухні та пральні на електричне ДНЗ№30</t>
  </si>
  <si>
    <t>Капітальний ремонт каналізації та туалетних кімнат ДНЗ№7</t>
  </si>
  <si>
    <t>Капітальний ремонт системи каналізації ДНЗ№14</t>
  </si>
  <si>
    <t>Капітальний ремонт каналізації та туалетних кімнат ДНЗ№54</t>
  </si>
  <si>
    <t>Капітальний ремонт приміщень (заміна вікон) ДНЗ№23</t>
  </si>
  <si>
    <t>Капітальний ремонтогорожі ДНЗ№36</t>
  </si>
  <si>
    <t>Капітальний ремонт фасаду ДНЗ№61</t>
  </si>
  <si>
    <t>Капітальний ремонт приміщення ДНЗ№3</t>
  </si>
  <si>
    <t>Капітальний ремонт санвузлів ДНЗ№3</t>
  </si>
  <si>
    <t>Капітальний ремонт харчоблоків ДНЗ№3</t>
  </si>
  <si>
    <t>Капітальний ремонт покрівлі ДНЗ№3</t>
  </si>
  <si>
    <t>Капітальний ремонт систем опалення ДНЗ№3</t>
  </si>
  <si>
    <t>Заміна вікон та вітражів ДНЗ№2</t>
  </si>
  <si>
    <t>Заміна вікон, дверейДНЗ№5</t>
  </si>
  <si>
    <t>Заміна вікон та вітражів ДНЗ№10</t>
  </si>
  <si>
    <t>Заміна вікон та вітражів, дверей ДНЗ№34</t>
  </si>
  <si>
    <t>Заміна вікон та вітражів, дверей ДНЗ№66</t>
  </si>
  <si>
    <t>Капітальний ремонт покрівлі вечірня школа</t>
  </si>
  <si>
    <t>Капітальний ремонт покрівлі складу по вул.Інструментальна (Господарча група)</t>
  </si>
  <si>
    <t>спец.рах.</t>
  </si>
  <si>
    <t>ВСЬОГО по КЕКВ 3132 спец.рах.</t>
  </si>
  <si>
    <t>Подарунки для дітей сиріт до Дня захисту дітей</t>
  </si>
  <si>
    <t>Подарунки для дітей сиріт до Дня Святого Миколая</t>
  </si>
  <si>
    <t>Класні журнали</t>
  </si>
  <si>
    <t>Атестати та свідоцтва</t>
  </si>
  <si>
    <t>Подарунки медалістам</t>
  </si>
  <si>
    <t>Грамоти, дипломи</t>
  </si>
  <si>
    <t>Скло</t>
  </si>
  <si>
    <t>Вивіски</t>
  </si>
  <si>
    <t>Підписні видання</t>
  </si>
  <si>
    <t>Автошини</t>
  </si>
  <si>
    <t>Журнал відвідування дітей</t>
  </si>
  <si>
    <t>Книга наказів</t>
  </si>
  <si>
    <t>Журнал для харчування</t>
  </si>
  <si>
    <t>Книга обліку дітей дошкільного віку</t>
  </si>
  <si>
    <t>Госпдарчі потреби</t>
  </si>
  <si>
    <t>Лінолеум</t>
  </si>
  <si>
    <t>Електролампочки, стартери</t>
  </si>
  <si>
    <t>Кисень, ацетилен</t>
  </si>
  <si>
    <t>Бланки, меню</t>
  </si>
  <si>
    <t>Папір</t>
  </si>
  <si>
    <t>Канцелярське приладдя</t>
  </si>
  <si>
    <t>Порошок кольоровий</t>
  </si>
  <si>
    <t>Лампа бактерицидна (люменісцентна)</t>
  </si>
  <si>
    <t>Чекова книжка</t>
  </si>
  <si>
    <t>Дизпаливо</t>
  </si>
  <si>
    <t>Бензин А-80, А-92, А-95</t>
  </si>
  <si>
    <t>Газ стиснений</t>
  </si>
  <si>
    <t>Газ скраплений</t>
  </si>
  <si>
    <t>Масло солідол</t>
  </si>
  <si>
    <t>Електроди</t>
  </si>
  <si>
    <t>Запчастини до автомобілів, бензопили</t>
  </si>
  <si>
    <t>Акумулятори</t>
  </si>
  <si>
    <t>Медикаменти (аптечка)</t>
  </si>
  <si>
    <t>Номерні знаки</t>
  </si>
  <si>
    <t>Дихлор</t>
  </si>
  <si>
    <t>Жавель-клейд</t>
  </si>
  <si>
    <t>Фарба</t>
  </si>
  <si>
    <t>Електроплити (2 шт.)</t>
  </si>
  <si>
    <t>Провід мідний, коробка разводна, розетки накладні, дюбеля</t>
  </si>
  <si>
    <t>Сітки, стартові колоди, ракетки та ін.</t>
  </si>
  <si>
    <t>М'ячі волейбольні, тенісні</t>
  </si>
  <si>
    <t>Ручка засувна</t>
  </si>
  <si>
    <t>Журнали реїстрації довідок та направлень</t>
  </si>
  <si>
    <t>Лікарські засоби</t>
  </si>
  <si>
    <t>Забезпечення та проведення профілактичних щеплень дітям</t>
  </si>
  <si>
    <t>ВСЬОГО по КЕКВ 2220 заг.рах.:</t>
  </si>
  <si>
    <t xml:space="preserve">Абонплата за сідіем </t>
  </si>
  <si>
    <t>Послуги банку</t>
  </si>
  <si>
    <t>Програма "Intek" обробка документів по з/п</t>
  </si>
  <si>
    <t>Навчання по газу</t>
  </si>
  <si>
    <t>За зберігання спортивної зброї</t>
  </si>
  <si>
    <t>Технічне обслуговування газового обладнання</t>
  </si>
  <si>
    <t>Проектна документація котельні ДНЗ№66</t>
  </si>
  <si>
    <t>За послуги фото (медалістам)</t>
  </si>
  <si>
    <t>Заміна електролічильників ( на прямоточні)</t>
  </si>
  <si>
    <t>За підписні видання</t>
  </si>
  <si>
    <t>Повірка лічильників їх заміна</t>
  </si>
  <si>
    <t>Оплата послуг з виготовлення документів про освіту</t>
  </si>
  <si>
    <t>Ремонт електрокабеля</t>
  </si>
  <si>
    <t>Обслуговування програми "Бух.облік"</t>
  </si>
  <si>
    <t>Ремонт комп'ютерної техніки</t>
  </si>
  <si>
    <t>Заправка принтера, ксерокса</t>
  </si>
  <si>
    <t>Ремонт швейного обладнання та електроінструментів</t>
  </si>
  <si>
    <t>Охорона каси</t>
  </si>
  <si>
    <t>Обслуговування газової котельні №66</t>
  </si>
  <si>
    <t>Програма "Баланс"</t>
  </si>
  <si>
    <t>Програма бюджет міста</t>
  </si>
  <si>
    <t>Упорядкування архіву</t>
  </si>
  <si>
    <t>Технічний огляд машин та реєстрація</t>
  </si>
  <si>
    <t>Страхування транспорту</t>
  </si>
  <si>
    <t>Ремонт автомобіля</t>
  </si>
  <si>
    <t>Талони на вивіз сміття</t>
  </si>
  <si>
    <t>Знищення та вивіз рідких нечистот</t>
  </si>
  <si>
    <t>Дератизація</t>
  </si>
  <si>
    <t>Дезинсекція</t>
  </si>
  <si>
    <t>Оплата за ліфти</t>
  </si>
  <si>
    <t>Програмне забезпечення формування ЗНЗ№1</t>
  </si>
  <si>
    <t>Програмне забезпечення формування 83- РВК</t>
  </si>
  <si>
    <t>Знешкодження твердих побутових відходів</t>
  </si>
  <si>
    <t>Послуги охорони</t>
  </si>
  <si>
    <t>Перевірка димових каналів</t>
  </si>
  <si>
    <t>Страховий платіж</t>
  </si>
  <si>
    <t>Створення сайту</t>
  </si>
  <si>
    <t>Розміщення оголошення в Міжнародному інформаційному виданні та інформаційному бюлетені "Вісник державних закупівель"</t>
  </si>
  <si>
    <t>Програма 1С 8.2 підприємство "Бух.облік для України"</t>
  </si>
  <si>
    <t>За доставку підручників</t>
  </si>
  <si>
    <t>Поточний ремонт бензопили</t>
  </si>
  <si>
    <t>Технічний огляд АП-18</t>
  </si>
  <si>
    <t>Харчування дітей</t>
  </si>
  <si>
    <t>ВСЬОГО по КЕКВ 2240 ЗАГ.РАХ.:</t>
  </si>
  <si>
    <t>Навчання відповідальних осіб за електрогосподарство</t>
  </si>
  <si>
    <t>Навчання відповідальних осіб по тендерному комітету</t>
  </si>
  <si>
    <t>Навчання з питань охорони праці працівників господарчої групи групи ОП -18</t>
  </si>
  <si>
    <t>Навчання відповідальних за електрогосподарство</t>
  </si>
  <si>
    <t>Навчання відповідального за газове господарство</t>
  </si>
  <si>
    <t>ВСЬОГО по КЕКВ 2282 ЗАГ.РАХ.:</t>
  </si>
  <si>
    <t>ВСЬОГО по КЕКВ 2210 ЗАГ.РАХ.:</t>
  </si>
  <si>
    <t>Гіпсокартон</t>
  </si>
  <si>
    <t>Цемент</t>
  </si>
  <si>
    <t>Грунтівка</t>
  </si>
  <si>
    <t>Сатенгіпс</t>
  </si>
  <si>
    <t>Ізогіпс</t>
  </si>
  <si>
    <t>Фарба, розчинники</t>
  </si>
  <si>
    <t>Мило, засоби мийні та засоби для чищення</t>
  </si>
  <si>
    <t>Плитка</t>
  </si>
  <si>
    <t>Тканина (бязь)</t>
  </si>
  <si>
    <t>Двері</t>
  </si>
  <si>
    <t>Пилесос</t>
  </si>
  <si>
    <t>Посуд</t>
  </si>
  <si>
    <t>Шпалери</t>
  </si>
  <si>
    <t>Клей</t>
  </si>
  <si>
    <t>Постільна білизна</t>
  </si>
  <si>
    <t>Халати</t>
  </si>
  <si>
    <t>Фартух робочий, ковпак</t>
  </si>
  <si>
    <t>Праска</t>
  </si>
  <si>
    <t>Сантехніка</t>
  </si>
  <si>
    <t>Канцтовари</t>
  </si>
  <si>
    <t>Світильники, лампи, лампочки</t>
  </si>
  <si>
    <t>Бактерицидна лампа</t>
  </si>
  <si>
    <t>Килимове покриття</t>
  </si>
  <si>
    <t>Рубероїд</t>
  </si>
  <si>
    <t>Вапно, крейда, азбест</t>
  </si>
  <si>
    <t>Спецодяг</t>
  </si>
  <si>
    <t>Інструменти</t>
  </si>
  <si>
    <t>Мітли та щітки ( кисточки, віники, валики)</t>
  </si>
  <si>
    <t>Білизна з хлором</t>
  </si>
  <si>
    <t>Губки кухонні</t>
  </si>
  <si>
    <t>Рукавички гумові</t>
  </si>
  <si>
    <t>Відро оцинковане</t>
  </si>
  <si>
    <t>Канцелярські товари</t>
  </si>
  <si>
    <t>Дошка аудиторна</t>
  </si>
  <si>
    <t>Дошка для підлоги</t>
  </si>
  <si>
    <t>Килимові покриття</t>
  </si>
  <si>
    <t>Скло (віконне, -пакети, -листове)</t>
  </si>
  <si>
    <t>Стенди</t>
  </si>
  <si>
    <t>Накуково-методична література (книги)</t>
  </si>
  <si>
    <t>Інвентар для кабінету фізики, хімії, біології</t>
  </si>
  <si>
    <t>Комп'ютерна техніка</t>
  </si>
  <si>
    <t>Телевізор</t>
  </si>
  <si>
    <t>Сітка волейбольна</t>
  </si>
  <si>
    <t>Тюль</t>
  </si>
  <si>
    <t>ВСЬОГО по КЕКВ 2210 СПЕЦ.РАХ.:</t>
  </si>
  <si>
    <t>ВСЬОГО по КЕКВ 2210 :</t>
  </si>
  <si>
    <t>Поточний ремонт приміщень</t>
  </si>
  <si>
    <t>Поточний ремонт туалетів</t>
  </si>
  <si>
    <t>Поточний ремонт фасаду</t>
  </si>
  <si>
    <t>Поточний ремонт басейну</t>
  </si>
  <si>
    <t>Поточний ремонт ґанку</t>
  </si>
  <si>
    <t>Поточний ремонт покрівлі</t>
  </si>
  <si>
    <t>Заміна насоса холодної води басейну</t>
  </si>
  <si>
    <t>Послуги інтернет зв'язку</t>
  </si>
  <si>
    <t>Проведення інтернет мережі</t>
  </si>
  <si>
    <t xml:space="preserve">Поточний ремон комп'ютерної техніки </t>
  </si>
  <si>
    <t>Заправка катриджів</t>
  </si>
  <si>
    <t>Технічне обслуговування вогнегасників</t>
  </si>
  <si>
    <t>Обслуговування електронних ключів</t>
  </si>
  <si>
    <t>Послуги укр.пошти</t>
  </si>
  <si>
    <t>Повірка і заміна лічильників</t>
  </si>
  <si>
    <t>ВСЬОГО по КЕКВ 2240 СПЕЦ.РАХ.:</t>
  </si>
  <si>
    <t>ВСЬОГО по КЕКВ 2240 :</t>
  </si>
  <si>
    <t>ВСЬОГО по КЕКВ 2230 ЗАГ.РАХ.:</t>
  </si>
  <si>
    <t>Шкільні дошки</t>
  </si>
  <si>
    <t>Мультимедійне обладнання</t>
  </si>
  <si>
    <t>Бібліотечні книги</t>
  </si>
  <si>
    <t>ВСЬОГО по КЕКВ 3110 СПЕЦ.РАХ.:</t>
  </si>
  <si>
    <t>_заміна газових плит на електричні</t>
  </si>
  <si>
    <t>_виготовлення газової колонки</t>
  </si>
  <si>
    <t>_встановлення додаткових опалювальних пристроїв</t>
  </si>
  <si>
    <t>_заміна регістрів на ефективні опалювальні пристрої</t>
  </si>
  <si>
    <t>_встановлення тепло відбиваючих кранів між стінами приміщень</t>
  </si>
  <si>
    <t>_заміна ламп розжарювання на енергозберігаючи лампи</t>
  </si>
  <si>
    <t>_заміна однополюсних автоматичних вимикачів</t>
  </si>
  <si>
    <t>_встановлення ламп в світильниках зовнішнього освітлення</t>
  </si>
  <si>
    <t xml:space="preserve">Комп'ютерна техніка </t>
  </si>
  <si>
    <t xml:space="preserve">Програма "Модернізація": </t>
  </si>
  <si>
    <t>_Подушки</t>
  </si>
  <si>
    <t>_Матраци</t>
  </si>
  <si>
    <t>_Килимове покриття</t>
  </si>
  <si>
    <t>_Пісок на майданчики</t>
  </si>
  <si>
    <t>_Сейф</t>
  </si>
  <si>
    <t>_Іграшки</t>
  </si>
  <si>
    <t>_Піаніно</t>
  </si>
  <si>
    <t>_Вікна</t>
  </si>
  <si>
    <t>_Двері</t>
  </si>
  <si>
    <t>_Лінолеум</t>
  </si>
  <si>
    <t>_Цемент</t>
  </si>
  <si>
    <t>_Щебень</t>
  </si>
  <si>
    <t>_Бетонні стовбці</t>
  </si>
  <si>
    <t>_Металева огорожа</t>
  </si>
  <si>
    <t>Програма "Енергозбереження" :</t>
  </si>
  <si>
    <t>код 32.30.1 - Вироби спортивні</t>
  </si>
  <si>
    <t>код 13.92.1 - Вироби текстильні для домашнього господарства (ковдра, покривало, рушники махрові, комплекти постільної білизни)</t>
  </si>
  <si>
    <t>код 25.93.1 - Вироби з дроту, ланцюги та пружини ( металева огорожа)</t>
  </si>
  <si>
    <t xml:space="preserve">26.20.1 - Машини обчислювальні, частини та приладдя до них </t>
  </si>
  <si>
    <t>Бактерицидна лампа пересувна, стаціонарна</t>
  </si>
  <si>
    <t xml:space="preserve">27.51.2 - Прилади електричні побутові, інші, н.в.і.у . </t>
  </si>
  <si>
    <t>27.51.1 - Холодильники та морозильники; машини пральні; електроковдри; вентилятори.</t>
  </si>
  <si>
    <t>Поточний ремонт тіньвого навісу, зовнішньої огорожі, ремонт підлоги ДНЗ№3 .  ДБН Д.1.1-1-2000</t>
  </si>
  <si>
    <t>Килими</t>
  </si>
  <si>
    <t>Програма "Модернізація":</t>
  </si>
  <si>
    <t>_Поточний ремонт сантехнічного обладнання туалетних кімнат ДНЗ№10,66</t>
  </si>
  <si>
    <t>_Установка тренажерних майданчиків ЗНЗ№4,5,6,7,13,19,21, 33,34</t>
  </si>
  <si>
    <t>_Установка вуличних тренажерів ЗНЗ№1-35</t>
  </si>
  <si>
    <t>_Установка турника ЗНЗ№2</t>
  </si>
  <si>
    <t>_Установка брусу ЗНЗ№1-35</t>
  </si>
  <si>
    <t>Програма НЕФКО:</t>
  </si>
  <si>
    <t>_Заміна ламп розжарювання на енергозберігаючі люмінесцентні лампи</t>
  </si>
  <si>
    <t>_Встановлення тепловідбивних екранів між стінами приміщень і радіаторами</t>
  </si>
  <si>
    <t>_Управління проектом</t>
  </si>
  <si>
    <t>Програма "Енергозбереження":</t>
  </si>
  <si>
    <t>_Ремонт вимощень, фундаменту навколо будівлі ЗНЗ№23</t>
  </si>
  <si>
    <t>_Утеплення та ремонт стін</t>
  </si>
  <si>
    <t>_Ремонт системи каналізації</t>
  </si>
  <si>
    <t>_Промивка системи опалення</t>
  </si>
  <si>
    <t>код 35.13.1 - Розподілення електричної енергії (ремонт мережі зовнішнього освітлення теріторії та її оснащення автоматичною системою управління)</t>
  </si>
  <si>
    <t>_Заміна газових колонок та пальчиків на електричні водонагрівачі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</si>
  <si>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</si>
  <si>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</si>
  <si>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</si>
  <si>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</si>
  <si>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</si>
  <si>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</si>
  <si>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</si>
  <si>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</si>
  <si>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</si>
  <si>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січень-березень 2014 року</t>
  </si>
  <si>
    <t>січень-лютий 2014 року</t>
  </si>
  <si>
    <t>грудень 2013 року-березень 2014 року</t>
  </si>
  <si>
    <t>код 65.12.9 - Послуги щодо страхування, не пов'язані зі страхуванням життя, інші ( страхування приміщень, будівель)</t>
  </si>
  <si>
    <t>(двадцять три мільйони шістсот дев'яносто дві тис. чотириста тридцять сім грн. 43 коп.)</t>
  </si>
  <si>
    <t>(триста сорок шість тис. сімсот п'ятдесят вісім грн.)</t>
  </si>
  <si>
    <t>_Поточний ремонт спортивного майданчика ЗНЗ№1</t>
  </si>
  <si>
    <t>_Поточний ремонт спортивного майданчика ЗНЗ№2</t>
  </si>
  <si>
    <t>_Поточний ремонт спортивного майданчика ЗНЗ№3</t>
  </si>
  <si>
    <t>_Поточний ремонт спортивного майданчика ЗНЗ№4</t>
  </si>
  <si>
    <t>_Поточний ремонт спортивного майданчика ЗНЗ№5</t>
  </si>
  <si>
    <t>_Поточний ремонт спортивного майданчика ЗНЗ№6</t>
  </si>
  <si>
    <t>_Поточний ремонт спортивного майданчика ЗНЗ№7</t>
  </si>
  <si>
    <t>_Поточний ремонт спортивного майданчика ЗНЗ№9</t>
  </si>
  <si>
    <t>_Поточний ремонт спортивного майданчика ЗНЗ№10</t>
  </si>
  <si>
    <t>_Поточний ремонт спортивного майданчика ЗНЗ№11</t>
  </si>
  <si>
    <t>_Поточний ремонт спортивного майданчика ЗНЗ№12</t>
  </si>
  <si>
    <t>_Поточний ремонт спортивного майданчика ЗНЗ№13</t>
  </si>
  <si>
    <t>_Поточний ремонт спортивного майданчика ЗНЗ№14</t>
  </si>
  <si>
    <t>_Поточний ремонт спортивного майданчика ЗНЗ№15</t>
  </si>
  <si>
    <t>_Поточний ремонт спортивного майданчика ЗНЗ№16</t>
  </si>
  <si>
    <t>_Поточний ремонт спортивного майданчика ЗНЗ№17</t>
  </si>
  <si>
    <t>_Поточний ремонт спортивного майданчика ЗНЗ№18</t>
  </si>
  <si>
    <t>_Поточний ремонт спортивного майданчика ЗНЗ№19</t>
  </si>
  <si>
    <t>_Поточний ремонт спортивного майданчика ЗНЗ№20</t>
  </si>
  <si>
    <t>_Поточний ремонт спортивного майданчика ЗНЗ№21</t>
  </si>
  <si>
    <t>_Поточний ремонт спортивного майданчика ЗНЗ№22</t>
  </si>
  <si>
    <t>_Поточний ремонт спортивного майданчика ЗНЗ№23</t>
  </si>
  <si>
    <t>_Поточний ремонт спортивного майданчика ЗНЗ№24</t>
  </si>
  <si>
    <t>_Поточний ремонт спортивного майданчика ЗНЗ№27</t>
  </si>
  <si>
    <t>_Поточний ремонт спортивного майданчика ЗНЗ№28</t>
  </si>
  <si>
    <t>_Поточний ремонт спортивного майданчика ЗНЗ№29</t>
  </si>
  <si>
    <t>_Поточний ремонт спортивного майданчика ЗНЗ№30</t>
  </si>
  <si>
    <t>_Поточний ремонт спортивного майданчика ЗНЗ№31</t>
  </si>
  <si>
    <t>_Поточний ремонт спортивного майданчика ЗНЗ№32</t>
  </si>
  <si>
    <t>_Поточний ремонт спортивного майданчика ЗНЗ№33</t>
  </si>
  <si>
    <t>_Поточний ремонт спортивного майданчика ЗНЗ№34</t>
  </si>
  <si>
    <t>_Поточний ремонт спортивного майданчика ЗНЗ№35</t>
  </si>
  <si>
    <t>_Поточний ремонт спортивного майданчика ЗНЗ№36</t>
  </si>
  <si>
    <t>43.</t>
  </si>
  <si>
    <t>код 58.29.3 - Програмне забезпечення як завантажні файли (Програма " Курс:Школа" (інформаційна система управління освіти) програма Курс-Дошкілля, та обслуговування)</t>
  </si>
  <si>
    <t>Стільці дитячі</t>
  </si>
  <si>
    <t xml:space="preserve">Меблі конторські ( стіл письмовий, стіл для засідань, стінка для кабінету )  </t>
  </si>
  <si>
    <t>Лава для роздягальні</t>
  </si>
  <si>
    <t>44.</t>
  </si>
  <si>
    <t>45.</t>
  </si>
  <si>
    <t xml:space="preserve">код 31.09.1 - Меблі, інші </t>
  </si>
  <si>
    <t>Кредиторська заборгованість за 2013 рік.</t>
  </si>
  <si>
    <t>Стільці</t>
  </si>
  <si>
    <t>Кредиторська заборгованість за 2013 рік .</t>
  </si>
  <si>
    <t>Відрядження</t>
  </si>
  <si>
    <t>Проїздні квитки</t>
  </si>
  <si>
    <t>ВСЬОГО по КЕКВ 2250 ЗАГ.РАХ.:</t>
  </si>
  <si>
    <t>(шістсот тис.грн.)</t>
  </si>
  <si>
    <t>(двісті вісім тис. сімсот шістдесят грн.)</t>
  </si>
  <si>
    <t>Пекур В.О.  Фара Н.А.</t>
  </si>
  <si>
    <t>Хотульова А.І. Петренко І.В.</t>
  </si>
  <si>
    <t xml:space="preserve">Хотульова А.І.    Пекур В.О.   Смирнова В.І. </t>
  </si>
  <si>
    <t>Пекур В.І.</t>
  </si>
  <si>
    <t>Гнезділова В.С.</t>
  </si>
  <si>
    <t>Петренко І.В.</t>
  </si>
  <si>
    <t>Хмельов І.М.  директора ЗНЗ</t>
  </si>
  <si>
    <t>завідувачі ДНЗ</t>
  </si>
  <si>
    <t>завідувач ДНЗ</t>
  </si>
  <si>
    <t>Мусієнко Н.О.</t>
  </si>
  <si>
    <t xml:space="preserve">Хмельов І.М.  </t>
  </si>
  <si>
    <t>код 10.82.2 - Шоколад і цукрові кондитерські вироби (цукерки глазуровані вафельні)</t>
  </si>
  <si>
    <t>Договір з ПАТ "Продовольча компанія "Ясен" від 21.02.2014 р. №73</t>
  </si>
  <si>
    <t>(сто шістнадцять тис. сімсот сімдесят  грн.)</t>
  </si>
  <si>
    <t>січень -березень 2014 року</t>
  </si>
  <si>
    <t>січень-квітень 2014 року</t>
  </si>
  <si>
    <t>березень-квітень 2014 року</t>
  </si>
  <si>
    <t>(сто двадцять одна тис. двадцять вісім грн. 16 коп.)</t>
  </si>
  <si>
    <t>Затверджений рішенням комітету з конкурсних торгів від 18.03.2014 року протокол № 3</t>
  </si>
  <si>
    <t xml:space="preserve">Замір опору ізоляції </t>
  </si>
  <si>
    <t>Зміни до додатку до річного плану</t>
  </si>
  <si>
    <t>ЗМІНИ ДО РІЧНОГО ПЛАНУ ЗАКУПІВЕЛЬ</t>
  </si>
  <si>
    <t>січень-березень 2014 р.</t>
  </si>
  <si>
    <t>10.39.2 - Плоди й горіхи, оброблені та законсервовані (повидло, джеми, чернослив сушений, сухофрукти, курага , родзинки)</t>
  </si>
  <si>
    <t>Очікувана вартість предмета закупівлі  (тис.грн.)</t>
  </si>
  <si>
    <t>(один мільйон двісті п'ять тис. п'ятсот сорок грн.)</t>
  </si>
  <si>
    <t xml:space="preserve"> (сто п'ятдесят одна тис.п'ятсот грн.)</t>
  </si>
  <si>
    <t>(триста дев'яносто дві тис. п'ятосот  грн.)</t>
  </si>
  <si>
    <t>Ремонт автомобіля додатк.к.</t>
  </si>
  <si>
    <t>Заправка принтера, катриджа додатк.к.</t>
  </si>
  <si>
    <t>Конверти</t>
  </si>
  <si>
    <t>Реєстрація домену (сайту)</t>
  </si>
  <si>
    <t>Послуги банку (додатк.к.)</t>
  </si>
  <si>
    <t>Подарунки для дітей сиріт до Новорічного свята (додатк.к.)</t>
  </si>
  <si>
    <t>Контейнери для сміття (додатк.к.)</t>
  </si>
  <si>
    <t>Подарунки для дітей сиріт до Дня Святого Миколая (додатк.к.)</t>
  </si>
  <si>
    <t>Папір (додатк.к.)</t>
  </si>
  <si>
    <t>Скло (додатк.к.)</t>
  </si>
  <si>
    <t>Подарунки медалістам (додатк.к.)</t>
  </si>
  <si>
    <t>Бітум (додатк.к.)</t>
  </si>
  <si>
    <t>Нагородження переможців міського конкурсу "Фестиваль країн Європи" (додатк.к.)</t>
  </si>
  <si>
    <t xml:space="preserve"> Цемент (додатк.к.)</t>
  </si>
  <si>
    <t>Лінолеум (додатк.к.)</t>
  </si>
  <si>
    <t>Рубемаст (додатк.к.)</t>
  </si>
  <si>
    <t>Підписні видання (додатк.к.)</t>
  </si>
  <si>
    <t>Вогнегасники (додатк.к.)</t>
  </si>
  <si>
    <t>Катриджи, флешки (додатк.к.)</t>
  </si>
  <si>
    <t>Господарчі товари (додатк.к.)</t>
  </si>
  <si>
    <t>Електролампочки, стартери (додатк.к.)</t>
  </si>
  <si>
    <t>Бланки, меню (додатк.к.)</t>
  </si>
  <si>
    <t>Дизпаливо (додатк.к.)</t>
  </si>
  <si>
    <t>Бензин А-80,92,95 (додатк.к.)</t>
  </si>
  <si>
    <t>Газ стиснений (додатк.к.)</t>
  </si>
  <si>
    <t>Газ скраплений (додатк.к.)</t>
  </si>
  <si>
    <t>Запчастини до автомобілів, бензопили (додатк.к.)</t>
  </si>
  <si>
    <t>Дихлор (додатк.к.)</t>
  </si>
  <si>
    <t>Фарба для авто (додатк.к.)</t>
  </si>
  <si>
    <t>Провід мідний, коробка разводна, розетки накладні, дюбеля (додатк.к.)</t>
  </si>
  <si>
    <t>Сітки, стартові колоди, ракетки та ін.(додатк.к.)</t>
  </si>
  <si>
    <t>Відрядження (додатк.к.)</t>
  </si>
  <si>
    <t>Проїздні квитки (додатк.к.)</t>
  </si>
  <si>
    <t>Повірка лічильників опалення, гарячої та холодної води, монометрів (додатк.к.)</t>
  </si>
  <si>
    <t>Упаковка подарунків медалістам (додатк.к.)</t>
  </si>
  <si>
    <t>Замір опору ізоляції елетромереж (додатк.к.)</t>
  </si>
  <si>
    <t>Перезарядка вогнегасників (додатк.к.)</t>
  </si>
  <si>
    <t>Повірка вагів (додатк.к.)</t>
  </si>
  <si>
    <t>Аварійний ремонт системи опалення, водопроводу, каналізації (додатк.к.)</t>
  </si>
  <si>
    <t>Утилізація люмінесцентних ламп (додатк.к.)</t>
  </si>
  <si>
    <t>Заміна електролічильників (на прямоточні) (додатк.к.)</t>
  </si>
  <si>
    <t>Поточний ремонт електрокабеля (додатк.к.)</t>
  </si>
  <si>
    <t>Ремонт комп.техніки (додатк.к.)</t>
  </si>
  <si>
    <t>Заправка кольорового принтера, картриджа, ксерокса (додатк.к.)</t>
  </si>
  <si>
    <t>Знищення та вивіз рідких нечистот (додатк.к.)</t>
  </si>
  <si>
    <t>Поточний ремонт приміщення ДНЗ№17, ЦБ (додатк.к.)</t>
  </si>
  <si>
    <t>Поточний ремонт кабельної лінії живлення ДНЗ№46 (додатк.к.)</t>
  </si>
  <si>
    <t>Харчування дітей (додатк.к.)</t>
  </si>
  <si>
    <t>Абонплата за інтернет (ПАТ "Укртелеком")</t>
  </si>
  <si>
    <t>Абонплата за радіо (ПАТ"Укртелеком")</t>
  </si>
  <si>
    <t>код 61.10.4. -Послуги зв'язку Інтернетом проводовими мережами (надання послуг інтернет DSL з'єднання) Національний проект відкритий світ</t>
  </si>
  <si>
    <t>сума за договором (додаткова угода на зменшення)</t>
  </si>
  <si>
    <t>РІЧИЙ ПЛАН ЗАКУПІВЕЛЬ зі змінами</t>
  </si>
  <si>
    <t>Меблі (столи, парти )</t>
  </si>
  <si>
    <t>Печатка</t>
  </si>
  <si>
    <t>Штраф</t>
  </si>
  <si>
    <t>(Один мільйон сімсот дев'яносто тис. сто двадцять грн.)</t>
  </si>
  <si>
    <t>(один мільйон чотириста дев'яносто чотири тис. вісімсот п'ятдесят грн.)</t>
  </si>
  <si>
    <t>травень-червень 2014 року</t>
  </si>
  <si>
    <t>Парти, двері ЗНЗ№17 (депутатські кошти)</t>
  </si>
  <si>
    <r>
      <t xml:space="preserve"> </t>
    </r>
    <r>
      <rPr>
        <sz val="10"/>
        <color indexed="8"/>
        <rFont val="Times New Roman"/>
        <family val="1"/>
      </rPr>
      <t>код 10.11.3 - М’ясо заморожене та заморожені харчові субпродукти; м’ясо та харчові субпродукти, інші (яловичина , печінка яловича, свинина )</t>
    </r>
  </si>
  <si>
    <t>код 10.61.3 - Крупи, крупка, гранули та інші продукти з зерна зернових культур (крупи )</t>
  </si>
  <si>
    <t xml:space="preserve"> код 10.32.1 - Соки фруктові та овочеві (соки фруктові та овочеві)</t>
  </si>
  <si>
    <t>код 10.81.1 - Цукор-сирець, тростинний і очищений тростинний чи буряковий цукор (сахароза); меляса (цукор пісок)</t>
  </si>
  <si>
    <t>код 10.73.1 - Макарони, локшина, кускус і подібні борошняні вироби (макаронні вироби вищого ґатунку)</t>
  </si>
  <si>
    <t>код 10.12.1 - М'ясо свійської птиці, свіже чи охолоджене (тушки курей охолоджені, окіст курячий охолоджений, філе куряче охолоджене)</t>
  </si>
  <si>
    <t>код 10.51.4 - Сир сичужний та кисломолочний сир (сир сичужний та кисломолочний )</t>
  </si>
  <si>
    <t>код 10.39.1 - Плоди та овочі, оброблені та законсервовані, крім картоплі (томати мариновані без оцту, огірки мариновані, капуста квашена, паста томатна, ікра кабачкова, огірки квашені)</t>
  </si>
  <si>
    <t>код 10.39.2 - Плоди й горіхи, оброблені та законсервовані (повидло, джеми, чернослив сушений, сухофрукти, курага , родзинки)</t>
  </si>
  <si>
    <t>код 01.23.1 - Плоди цитрусових культур (лимони, апельсини, мандарини)</t>
  </si>
  <si>
    <t>Переговорна процедура</t>
  </si>
  <si>
    <t>_Унітази, мийки ДНЗ № 59</t>
  </si>
  <si>
    <t>_Змішувачі ДНЗ № 55</t>
  </si>
  <si>
    <t>Лінолеум ДНЗ № 59</t>
  </si>
  <si>
    <t>заг.рах.</t>
  </si>
  <si>
    <t>міський бюджеи</t>
  </si>
  <si>
    <t>Електричний дзвінок ДНЗ № 55</t>
  </si>
  <si>
    <t>_Фарба ЗНЗ № 19</t>
  </si>
  <si>
    <t>Кахель</t>
  </si>
  <si>
    <t>Плитка облицювальна ДНЗ № 59,ДНЗ № 55</t>
  </si>
  <si>
    <t>Металопластикові вікна</t>
  </si>
  <si>
    <t>Газ для зварювальних робіт</t>
  </si>
  <si>
    <t>01.13.2 - Культури баштанні (кабачки).</t>
  </si>
  <si>
    <t>01.13.3 - Культури овочеві плодоносні , інші ( огірки, помідори)</t>
  </si>
  <si>
    <t>Капітальний ремонт приміщення ЗНЗ№22 з частковою заміною вікон та дверей по вул. Рокоссовського, 45-б м.Чернігова ( в т.ч. експертиза та автроський нагляд)</t>
  </si>
  <si>
    <t>Виготовлення проектно-кошторисної документації ЗНЗ№22</t>
  </si>
  <si>
    <t>Виготовлення проектно-кошторисної документації ЗНЗ№27</t>
  </si>
  <si>
    <t>Виготовлення проектно-кошторисної документації ЗНЗ№12</t>
  </si>
  <si>
    <t>Капітальний ремонт приміщення ЗНЗ№21 з частковою заміною вікон, дверей та улаштуванням системи автоматичного регулювання споживання тепла з обладнанням вузлами обліку споживання енергоносіїв по вул. Гагаріна, 27 м.Чернігова ( в т.ч. експертиза та авторський нагляд)</t>
  </si>
  <si>
    <t>Капітальний ремонт приміщення ЗНЗ№9 з частковою заміною вікон, дверей та улаштуванням системи автоматичного регулювання споживання тепла з обладнанням вузлами обліку споживання енергоносіїв по вул. Молодчого,21 м.Чернігова ( в т.ч. експертиза та авторський нагляд)</t>
  </si>
  <si>
    <t>Капітальний ремонт приміщення ЗНЗ№2 з частковою заміною вікон, дверей та улаштуванням системи автоматичного регулювання споживання тепла з обладнанням вузлами обліку споживання енергоносіїв по вул. Савчука,13 м.Чернігова ( в т.ч. експертиза та авторський нагляд)</t>
  </si>
  <si>
    <t>27.51.2 - Прилади електричні побутові, інші, н.в.і.у.</t>
  </si>
  <si>
    <t>код 65.12.4 - Послуги щодо страхування майна від пожежі та інших небезпек ( Послуги щодо страхування майна від пожежі та інших небезпек яке перебуває в комунальній власності, а саме об'єктів нерухомості що належеть до сфери управління освіти Чернігівської міської ради)</t>
  </si>
  <si>
    <t>(вісімсот п'ятдесят вісім тис. сто грн.)</t>
  </si>
  <si>
    <t>серпень-вересень 2014 року</t>
  </si>
  <si>
    <t>Вісімсот дев'яносто шість тис. чотириста шістдесят грн.</t>
  </si>
  <si>
    <t>ДСТУ для будівельних робіт</t>
  </si>
  <si>
    <t>Пісок</t>
  </si>
  <si>
    <t>Сантехніка (унітази)</t>
  </si>
  <si>
    <t>Лічильники води</t>
  </si>
  <si>
    <t>Підключення до платного сервісу по тендерам</t>
  </si>
  <si>
    <t xml:space="preserve">10.11.3 - М'ясо заморожене та заморожені харчові субпродукти, м'ясо та харчові субпродукти інші (яловичина заморожена, свинина заморожена, печінка яловича ) </t>
  </si>
  <si>
    <t>Меблі учнівські ЗНЗ№1 (деп.к)</t>
  </si>
  <si>
    <t>(чотириста вісімдесят тис.грн.)</t>
  </si>
  <si>
    <t>Капітальний ремонт приміщення групи ДНЗ№23 (дод.к.)</t>
  </si>
  <si>
    <t>Капітальний ремонт паркану ЗНЗ№2</t>
  </si>
  <si>
    <t>Вікна для відкриття додаткових груп ДНЗ№10 (дод.к)</t>
  </si>
  <si>
    <t>Матеріали для відкриття додаткових груп ДНЗ№66 (дод.к.)</t>
  </si>
  <si>
    <t>Будівельні матеріали (фарба) ЗНЗ№2</t>
  </si>
  <si>
    <t>Фарба, шпаклівка ЗНЗ№6 (депутатські кошти)</t>
  </si>
  <si>
    <t>Заміна теплопостачання системи обліку тепла та електронної плати</t>
  </si>
  <si>
    <t>Технічний нагляд</t>
  </si>
  <si>
    <t>Капітальний ремонт приміщення з заміною вікон ЗНЗ№4</t>
  </si>
  <si>
    <t>Капітальний ремонт фасаду спеціальна  загальноосвітня школа І-ІІ ступенів</t>
  </si>
  <si>
    <t>(сто двадцять три тис. чотириста дев'яносто чотири грн.)</t>
  </si>
  <si>
    <t>Поточний ремонт кабельної лінії живлення ЗНЗ№3(додатк.к.)</t>
  </si>
  <si>
    <t>Повірка лічильників</t>
  </si>
  <si>
    <t>Установка металопластикових підівконь (дод.к.)</t>
  </si>
  <si>
    <t>Навччання з правил технічної експлуатації теплових установок (дод.к.)</t>
  </si>
  <si>
    <t>Договір з ФОП Владовська П.К.  від 17.07.2014 року №110</t>
  </si>
  <si>
    <t>Договір з ФОП Владовська П.К.  від 17.07.2014 року №111</t>
  </si>
  <si>
    <t>ВСЬОГО по КЕКВ 3110 ЗАГ.РАХ.:</t>
  </si>
  <si>
    <t>ВСЬОГО по КЕКВ 3110 :</t>
  </si>
  <si>
    <t>10.61.3 - Крупи, крупка, гранули та інші продукти з зерна зернових культур (крупа манна фасована, група гречана ядро вагова).</t>
  </si>
  <si>
    <t>(додаткова угода на зменшення договору №274/288/З/4 від 21.03.2014 р. з ТОВ фірма "Технова" на суму 800 000,00 грн. від 16.10.214 р.)</t>
  </si>
  <si>
    <t>жовтень-листопад 2014 року</t>
  </si>
  <si>
    <t>Чотириста п'ятдесят дві тисячі грн.</t>
  </si>
  <si>
    <t>жовтень-грудень 2014 р.</t>
  </si>
  <si>
    <t>Заміна вікон ЗНЗ№22</t>
  </si>
  <si>
    <t>Капітальний ремонт приміщення з установкою дверей ЗНЗ№27</t>
  </si>
  <si>
    <t>Договір з ПАТ "Базис" від 10.10.2014 року №124/1507</t>
  </si>
  <si>
    <t>Електротовари</t>
  </si>
  <si>
    <t>Договір з ПАТ "Базис" від 27.10.2014 року №125/1528</t>
  </si>
  <si>
    <t>Договір з ПАТ "Базис" від 27.10.2014 року №126/1527</t>
  </si>
  <si>
    <t>Виготовлення проектно-кошторисної документації по ЗНЗ</t>
  </si>
  <si>
    <t>Виготовлення проектно-кошторисної документації по енергоефективній реновації по ДНЗ</t>
  </si>
  <si>
    <t>Договір з ПАТ "Базис" від 10.11.2014 року на суму 93 055,50 грн.</t>
  </si>
  <si>
    <t xml:space="preserve">Договір з ПАТ "Базис" від 03.11.2014 року №128 </t>
  </si>
  <si>
    <t>Виготовлення проектно-кошторисної документації по ЗНЗ№5</t>
  </si>
  <si>
    <t>Виготовлення проектно-кошторисної документації по ЗНЗ№11</t>
  </si>
  <si>
    <t>1205540,00 сума за договором</t>
  </si>
  <si>
    <t>сума за договором (додаткова угода на зменшення) Додаткова угода про дострокове розірвання договору від 20.10.2014 залишок 93 057,58 грн.</t>
  </si>
  <si>
    <t>код 01.13.1 Овочі листкові (капуста білокачанна)</t>
  </si>
  <si>
    <t>код 01.11.7 - Овочі бобові сушені (горох)</t>
  </si>
  <si>
    <t>(двісті  шість тис. сто сімдесят п'ять грн.)</t>
  </si>
  <si>
    <t>код 10.12.1 - м'ясо свійської птиці, свіже чи охолоджене (тушки курей охолоджені, окіст курячий охолоджений, філе курей охолоджене)</t>
  </si>
  <si>
    <t>грудень 2014 року</t>
  </si>
  <si>
    <t>Двісті тринадцять тисяч сімсот вісімдесят грн.</t>
  </si>
  <si>
    <t xml:space="preserve">Сто дев'яносто дев'ять тисяч чотириста сорок грн. </t>
  </si>
  <si>
    <t>Додаткова угода на зменшення на суму 213 780,00 грн. від 18.11.2014 року. Додаткова угода на зменшення на суму 199 400,0 грн. від 19.11.2014 року.</t>
  </si>
  <si>
    <t>Договір з ФОП Владовська ПК від 18.11.2014 №135</t>
  </si>
  <si>
    <t>Договір з ПАТ "Базис" від 18.11.2014 №134</t>
  </si>
  <si>
    <t>Договір з ПАТ "Базис" від 18.11.2014 №133</t>
  </si>
  <si>
    <t>10.51.2 - Молоко утвердих формах (молоко сухе)</t>
  </si>
  <si>
    <t>Договір з ПАТ "Базис" від 28.11.2014 р. №137/1629</t>
  </si>
  <si>
    <t>Співфінансування НЕФКО (капітальний ремонт приміщення з заміною вікон ЗНЗ№12,27)</t>
  </si>
  <si>
    <t>Спортивне обладнання ДНЗ№34 деп.к.</t>
  </si>
  <si>
    <t xml:space="preserve">Поточний ремонт приміщення </t>
  </si>
  <si>
    <t>Медогляд (дод.к.)</t>
  </si>
  <si>
    <t>Договір з ПАТ "Чернігівгаз" від 24.12.2014 року на суму 118641,21 грн.</t>
  </si>
  <si>
    <t>код 36.00.2  - оброблення та розподіляння води трубопроводами ( послуги з водопостачання та водовідведення)</t>
  </si>
  <si>
    <t>Доковір з КП "Чернігівводоканал" від 24.12.2014 р.№149 на суму 88578,28 грн.</t>
  </si>
  <si>
    <t>Договір з ПП"Гімак" від 24.12.2014 року</t>
  </si>
  <si>
    <t>Договір з ПАТ "Базис" №139/1675 від 10.12.2014 року</t>
  </si>
  <si>
    <t>Договір з ТОВ "Альянс Маркет" від 16.12.2014 року №143</t>
  </si>
  <si>
    <t>Договір з ТОВ "Альянс Маркет" від 10.12.2014 року №141</t>
  </si>
  <si>
    <t>Договір з ТОВ "Альянс Маркет" від 10.12.2014 року №142</t>
  </si>
  <si>
    <t>Договір з ТОВ "Альянс Маркет" від 10.12.2014 року №140 на суму 17 900,00 грн.</t>
  </si>
  <si>
    <t xml:space="preserve">Сто двадцять сім тис. п'ятсот двадцять одна грн. 72 коп. </t>
  </si>
  <si>
    <t>Капітальний ремонт приміщення ЗНЗ№20 з заміною вікон, дверей, ремонтом покрівлі по вул. Коцюбинського, 8 м.Чернігова ( в т.ч. експертиза та авторський нагляд)</t>
  </si>
  <si>
    <t>Капітальний ремонт приміщення з заміною вікон та дверей ЗНЗ№12</t>
  </si>
  <si>
    <t>Поточний ремонт лічильника</t>
  </si>
  <si>
    <t>Затверджений рішенням комітету з конкурсних торгів від 25.12.2014 року протокол №19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</si>
</sst>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"/>
    <numFmt numFmtId="179" formatCode="0.000"/>
  </numFmts>
  <fonts count="51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172" fontId="8" fillId="0" borderId="10" xfId="0" applyNumberFormat="1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2" fontId="8" fillId="33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 horizontal="justify" vertical="center" wrapText="1"/>
    </xf>
    <xf numFmtId="172" fontId="8" fillId="0" borderId="12" xfId="0" applyNumberFormat="1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justify" vertical="center" wrapText="1"/>
    </xf>
    <xf numFmtId="172" fontId="8" fillId="0" borderId="13" xfId="0" applyNumberFormat="1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33" borderId="13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justify" vertical="center" wrapText="1"/>
    </xf>
    <xf numFmtId="172" fontId="8" fillId="6" borderId="10" xfId="0" applyNumberFormat="1" applyFont="1" applyFill="1" applyBorder="1" applyAlignment="1">
      <alignment horizontal="center" vertical="center" wrapText="1"/>
    </xf>
    <xf numFmtId="172" fontId="8" fillId="6" borderId="10" xfId="0" applyNumberFormat="1" applyFont="1" applyFill="1" applyBorder="1" applyAlignment="1">
      <alignment horizontal="justify" vertical="center" wrapText="1"/>
    </xf>
    <xf numFmtId="0" fontId="8" fillId="6" borderId="10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49" fillId="6" borderId="10" xfId="0" applyFont="1" applyFill="1" applyBorder="1" applyAlignment="1">
      <alignment horizontal="left" wrapText="1"/>
    </xf>
    <xf numFmtId="172" fontId="7" fillId="17" borderId="14" xfId="0" applyNumberFormat="1" applyFont="1" applyFill="1" applyBorder="1" applyAlignment="1">
      <alignment horizontal="justify" vertical="center" wrapText="1"/>
    </xf>
    <xf numFmtId="0" fontId="8" fillId="17" borderId="14" xfId="0" applyFont="1" applyFill="1" applyBorder="1" applyAlignment="1">
      <alignment horizontal="center" vertical="center" wrapText="1"/>
    </xf>
    <xf numFmtId="0" fontId="0" fillId="17" borderId="15" xfId="0" applyFill="1" applyBorder="1" applyAlignment="1">
      <alignment/>
    </xf>
    <xf numFmtId="0" fontId="7" fillId="17" borderId="14" xfId="0" applyFont="1" applyFill="1" applyBorder="1" applyAlignment="1">
      <alignment/>
    </xf>
    <xf numFmtId="0" fontId="7" fillId="17" borderId="15" xfId="0" applyFont="1" applyFill="1" applyBorder="1" applyAlignment="1">
      <alignment/>
    </xf>
    <xf numFmtId="172" fontId="7" fillId="17" borderId="14" xfId="0" applyNumberFormat="1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172" fontId="8" fillId="33" borderId="10" xfId="0" applyNumberFormat="1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/>
    </xf>
    <xf numFmtId="172" fontId="8" fillId="33" borderId="13" xfId="0" applyNumberFormat="1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72" fontId="12" fillId="17" borderId="14" xfId="0" applyNumberFormat="1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172" fontId="8" fillId="33" borderId="13" xfId="0" applyNumberFormat="1" applyFont="1" applyFill="1" applyBorder="1" applyAlignment="1">
      <alignment horizontal="left"/>
    </xf>
    <xf numFmtId="172" fontId="8" fillId="33" borderId="10" xfId="0" applyNumberFormat="1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justify" vertical="center" wrapText="1"/>
    </xf>
    <xf numFmtId="0" fontId="8" fillId="35" borderId="10" xfId="0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justify" vertical="center" wrapText="1"/>
    </xf>
    <xf numFmtId="0" fontId="8" fillId="35" borderId="12" xfId="0" applyFont="1" applyFill="1" applyBorder="1" applyAlignment="1">
      <alignment horizontal="justify" vertical="center" wrapText="1"/>
    </xf>
    <xf numFmtId="0" fontId="8" fillId="35" borderId="12" xfId="0" applyFont="1" applyFill="1" applyBorder="1" applyAlignment="1">
      <alignment horizontal="center" vertical="center" wrapText="1"/>
    </xf>
    <xf numFmtId="172" fontId="8" fillId="35" borderId="12" xfId="0" applyNumberFormat="1" applyFont="1" applyFill="1" applyBorder="1" applyAlignment="1">
      <alignment horizontal="justify" vertical="center" wrapText="1"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35" borderId="12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justify" vertical="center" wrapText="1"/>
    </xf>
    <xf numFmtId="172" fontId="8" fillId="33" borderId="12" xfId="0" applyNumberFormat="1" applyFont="1" applyFill="1" applyBorder="1" applyAlignment="1">
      <alignment horizontal="justify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49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72" fontId="8" fillId="35" borderId="10" xfId="0" applyNumberFormat="1" applyFont="1" applyFill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49" fillId="33" borderId="16" xfId="0" applyFont="1" applyFill="1" applyBorder="1" applyAlignment="1">
      <alignment vertical="center" wrapText="1"/>
    </xf>
    <xf numFmtId="178" fontId="8" fillId="33" borderId="13" xfId="0" applyNumberFormat="1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/>
    </xf>
    <xf numFmtId="0" fontId="8" fillId="33" borderId="12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172" fontId="8" fillId="0" borderId="13" xfId="0" applyNumberFormat="1" applyFont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2" fontId="7" fillId="33" borderId="12" xfId="0" applyNumberFormat="1" applyFont="1" applyFill="1" applyBorder="1" applyAlignment="1">
      <alignment horizontal="center" vertical="center" wrapText="1"/>
    </xf>
    <xf numFmtId="178" fontId="7" fillId="33" borderId="17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2" fontId="7" fillId="17" borderId="18" xfId="0" applyNumberFormat="1" applyFont="1" applyFill="1" applyBorder="1" applyAlignment="1">
      <alignment/>
    </xf>
    <xf numFmtId="0" fontId="7" fillId="17" borderId="18" xfId="0" applyFont="1" applyFill="1" applyBorder="1" applyAlignment="1">
      <alignment/>
    </xf>
    <xf numFmtId="0" fontId="7" fillId="17" borderId="19" xfId="0" applyFont="1" applyFill="1" applyBorder="1" applyAlignment="1">
      <alignment/>
    </xf>
    <xf numFmtId="1" fontId="8" fillId="0" borderId="13" xfId="0" applyNumberFormat="1" applyFont="1" applyBorder="1" applyAlignment="1">
      <alignment horizontal="left" vertical="center"/>
    </xf>
    <xf numFmtId="172" fontId="8" fillId="33" borderId="10" xfId="0" applyNumberFormat="1" applyFont="1" applyFill="1" applyBorder="1" applyAlignment="1">
      <alignment horizontal="left" vertical="center"/>
    </xf>
    <xf numFmtId="172" fontId="7" fillId="17" borderId="18" xfId="0" applyNumberFormat="1" applyFont="1" applyFill="1" applyBorder="1" applyAlignment="1">
      <alignment horizontal="center" vertical="center" wrapText="1"/>
    </xf>
    <xf numFmtId="0" fontId="8" fillId="17" borderId="18" xfId="0" applyFont="1" applyFill="1" applyBorder="1" applyAlignment="1">
      <alignment horizontal="center" vertical="center" wrapText="1"/>
    </xf>
    <xf numFmtId="0" fontId="0" fillId="17" borderId="19" xfId="0" applyFill="1" applyBorder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17" borderId="23" xfId="0" applyFont="1" applyFill="1" applyBorder="1" applyAlignment="1">
      <alignment horizontal="center"/>
    </xf>
    <xf numFmtId="0" fontId="7" fillId="17" borderId="24" xfId="0" applyFont="1" applyFill="1" applyBorder="1" applyAlignment="1">
      <alignment horizontal="center"/>
    </xf>
    <xf numFmtId="0" fontId="7" fillId="17" borderId="25" xfId="0" applyFont="1" applyFill="1" applyBorder="1" applyAlignment="1">
      <alignment horizontal="center"/>
    </xf>
    <xf numFmtId="0" fontId="7" fillId="17" borderId="26" xfId="0" applyFont="1" applyFill="1" applyBorder="1" applyAlignment="1">
      <alignment horizontal="center" vertical="center" wrapText="1"/>
    </xf>
    <xf numFmtId="0" fontId="7" fillId="17" borderId="14" xfId="0" applyFont="1" applyFill="1" applyBorder="1" applyAlignment="1">
      <alignment horizontal="center" vertical="center" wrapText="1"/>
    </xf>
    <xf numFmtId="0" fontId="7" fillId="17" borderId="20" xfId="0" applyFont="1" applyFill="1" applyBorder="1" applyAlignment="1">
      <alignment horizontal="center" vertical="center" wrapText="1"/>
    </xf>
    <xf numFmtId="0" fontId="7" fillId="17" borderId="21" xfId="0" applyFont="1" applyFill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 vertical="center" wrapText="1"/>
    </xf>
    <xf numFmtId="0" fontId="7" fillId="17" borderId="20" xfId="0" applyFont="1" applyFill="1" applyBorder="1" applyAlignment="1">
      <alignment horizontal="center"/>
    </xf>
    <xf numFmtId="0" fontId="7" fillId="17" borderId="21" xfId="0" applyFont="1" applyFill="1" applyBorder="1" applyAlignment="1">
      <alignment horizontal="center"/>
    </xf>
    <xf numFmtId="0" fontId="7" fillId="17" borderId="27" xfId="0" applyFont="1" applyFill="1" applyBorder="1" applyAlignment="1">
      <alignment horizontal="center"/>
    </xf>
    <xf numFmtId="0" fontId="12" fillId="17" borderId="20" xfId="0" applyFont="1" applyFill="1" applyBorder="1" applyAlignment="1">
      <alignment horizontal="center" vertical="center" wrapText="1"/>
    </xf>
    <xf numFmtId="0" fontId="12" fillId="17" borderId="21" xfId="0" applyFont="1" applyFill="1" applyBorder="1" applyAlignment="1">
      <alignment horizontal="center" vertical="center" wrapText="1"/>
    </xf>
    <xf numFmtId="0" fontId="12" fillId="17" borderId="27" xfId="0" applyFont="1" applyFill="1" applyBorder="1" applyAlignment="1">
      <alignment horizontal="center" vertical="center" wrapText="1"/>
    </xf>
    <xf numFmtId="0" fontId="7" fillId="17" borderId="23" xfId="0" applyFont="1" applyFill="1" applyBorder="1" applyAlignment="1">
      <alignment horizontal="center" vertical="center" wrapText="1"/>
    </xf>
    <xf numFmtId="0" fontId="7" fillId="17" borderId="24" xfId="0" applyFont="1" applyFill="1" applyBorder="1" applyAlignment="1">
      <alignment horizontal="center" vertical="center" wrapText="1"/>
    </xf>
    <xf numFmtId="0" fontId="7" fillId="17" borderId="25" xfId="0" applyFont="1" applyFill="1" applyBorder="1" applyAlignment="1">
      <alignment horizontal="center" vertical="center" wrapText="1"/>
    </xf>
    <xf numFmtId="178" fontId="7" fillId="33" borderId="12" xfId="0" applyNumberFormat="1" applyFont="1" applyFill="1" applyBorder="1" applyAlignment="1">
      <alignment horizontal="center" vertical="center" wrapText="1"/>
    </xf>
    <xf numFmtId="178" fontId="7" fillId="33" borderId="13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178" fontId="7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13"/>
  <sheetViews>
    <sheetView tabSelected="1" zoomScaleSheetLayoutView="100" workbookViewId="0" topLeftCell="A89">
      <selection activeCell="I92" sqref="I92"/>
    </sheetView>
  </sheetViews>
  <sheetFormatPr defaultColWidth="9.00390625" defaultRowHeight="12.75"/>
  <cols>
    <col min="1" max="1" width="4.375" style="0" customWidth="1"/>
    <col min="2" max="2" width="22.00390625" style="0" customWidth="1"/>
    <col min="3" max="3" width="5.875" style="0" customWidth="1"/>
    <col min="4" max="4" width="9.875" style="0" customWidth="1"/>
    <col min="5" max="5" width="14.25390625" style="0" customWidth="1"/>
    <col min="6" max="6" width="8.25390625" style="0" customWidth="1"/>
    <col min="8" max="8" width="9.625" style="0" customWidth="1"/>
    <col min="9" max="9" width="13.00390625" style="0" customWidth="1"/>
  </cols>
  <sheetData>
    <row r="1" spans="7:9" ht="12.75">
      <c r="G1" s="11" t="s">
        <v>1</v>
      </c>
      <c r="H1" s="11"/>
      <c r="I1" s="11"/>
    </row>
    <row r="2" spans="7:9" ht="12.75">
      <c r="G2" s="11" t="s">
        <v>2</v>
      </c>
      <c r="H2" s="11"/>
      <c r="I2" s="11"/>
    </row>
    <row r="3" spans="7:9" ht="12.75">
      <c r="G3" s="11" t="s">
        <v>3</v>
      </c>
      <c r="H3" s="11"/>
      <c r="I3" s="11"/>
    </row>
    <row r="4" spans="7:9" ht="12.75">
      <c r="G4" s="11" t="s">
        <v>4</v>
      </c>
      <c r="H4" s="11"/>
      <c r="I4" s="11"/>
    </row>
    <row r="5" spans="7:9" ht="12.75">
      <c r="G5" s="11" t="s">
        <v>11</v>
      </c>
      <c r="H5" s="11"/>
      <c r="I5" s="11"/>
    </row>
    <row r="6" spans="7:9" ht="12.75">
      <c r="G6" s="11" t="s">
        <v>9</v>
      </c>
      <c r="H6" s="11"/>
      <c r="I6" s="11"/>
    </row>
    <row r="7" spans="7:9" ht="12.75">
      <c r="G7" s="11" t="s">
        <v>10</v>
      </c>
      <c r="H7" s="11"/>
      <c r="I7" s="11"/>
    </row>
    <row r="8" spans="7:9" ht="12.75">
      <c r="G8" s="11" t="s">
        <v>12</v>
      </c>
      <c r="H8" s="11"/>
      <c r="I8" s="11"/>
    </row>
    <row r="9" spans="7:9" ht="15.75">
      <c r="G9" s="1"/>
      <c r="H9" s="1"/>
      <c r="I9" s="1"/>
    </row>
    <row r="10" spans="1:9" ht="19.5" customHeight="1">
      <c r="A10" s="190" t="s">
        <v>633</v>
      </c>
      <c r="B10" s="190"/>
      <c r="C10" s="190"/>
      <c r="D10" s="190"/>
      <c r="E10" s="190"/>
      <c r="F10" s="190"/>
      <c r="G10" s="190"/>
      <c r="H10" s="190"/>
      <c r="I10" s="190"/>
    </row>
    <row r="11" spans="1:9" ht="23.25" customHeight="1">
      <c r="A11" s="189" t="s">
        <v>30</v>
      </c>
      <c r="B11" s="189"/>
      <c r="C11" s="189"/>
      <c r="D11" s="189"/>
      <c r="E11" s="189"/>
      <c r="F11" s="189"/>
      <c r="G11" s="189"/>
      <c r="H11" s="189"/>
      <c r="I11" s="189"/>
    </row>
    <row r="12" spans="1:9" ht="306">
      <c r="A12" s="13" t="s">
        <v>66</v>
      </c>
      <c r="B12" s="12" t="s">
        <v>14</v>
      </c>
      <c r="C12" s="12" t="s">
        <v>5</v>
      </c>
      <c r="D12" s="12" t="s">
        <v>0</v>
      </c>
      <c r="E12" s="12" t="s">
        <v>29</v>
      </c>
      <c r="F12" s="12" t="s">
        <v>6</v>
      </c>
      <c r="G12" s="12" t="s">
        <v>7</v>
      </c>
      <c r="H12" s="12" t="s">
        <v>65</v>
      </c>
      <c r="I12" s="12" t="s">
        <v>8</v>
      </c>
    </row>
    <row r="13" spans="1:9" ht="12.7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</row>
    <row r="14" spans="1:9" ht="27" customHeight="1">
      <c r="A14" s="186" t="s">
        <v>15</v>
      </c>
      <c r="B14" s="188" t="s">
        <v>74</v>
      </c>
      <c r="C14" s="184">
        <v>2230</v>
      </c>
      <c r="D14" s="164" t="s">
        <v>25</v>
      </c>
      <c r="E14" s="9">
        <v>9806588</v>
      </c>
      <c r="F14" s="185" t="s">
        <v>26</v>
      </c>
      <c r="G14" s="185" t="s">
        <v>27</v>
      </c>
      <c r="H14" s="164" t="s">
        <v>553</v>
      </c>
      <c r="I14" s="16">
        <v>8868588</v>
      </c>
    </row>
    <row r="15" spans="1:9" ht="81" customHeight="1">
      <c r="A15" s="186"/>
      <c r="B15" s="188"/>
      <c r="C15" s="184"/>
      <c r="D15" s="164"/>
      <c r="E15" s="27" t="s">
        <v>89</v>
      </c>
      <c r="F15" s="185"/>
      <c r="G15" s="185"/>
      <c r="H15" s="164"/>
      <c r="I15" s="8" t="s">
        <v>632</v>
      </c>
    </row>
    <row r="16" spans="1:9" ht="30" customHeight="1">
      <c r="A16" s="186" t="s">
        <v>16</v>
      </c>
      <c r="B16" s="168" t="s">
        <v>75</v>
      </c>
      <c r="C16" s="184">
        <v>2230</v>
      </c>
      <c r="D16" s="164" t="s">
        <v>25</v>
      </c>
      <c r="E16" s="9">
        <v>636000</v>
      </c>
      <c r="F16" s="185" t="s">
        <v>26</v>
      </c>
      <c r="G16" s="185" t="s">
        <v>567</v>
      </c>
      <c r="H16" s="164" t="s">
        <v>28</v>
      </c>
      <c r="I16" s="16">
        <v>371098.5</v>
      </c>
    </row>
    <row r="17" spans="1:9" ht="175.5" customHeight="1">
      <c r="A17" s="186"/>
      <c r="B17" s="168"/>
      <c r="C17" s="184"/>
      <c r="D17" s="164"/>
      <c r="E17" s="16" t="s">
        <v>90</v>
      </c>
      <c r="F17" s="185"/>
      <c r="G17" s="185"/>
      <c r="H17" s="164"/>
      <c r="I17" s="8" t="s">
        <v>722</v>
      </c>
    </row>
    <row r="18" spans="1:9" ht="32.25" customHeight="1">
      <c r="A18" s="186" t="s">
        <v>17</v>
      </c>
      <c r="B18" s="168" t="s">
        <v>76</v>
      </c>
      <c r="C18" s="184">
        <v>2230</v>
      </c>
      <c r="D18" s="164" t="s">
        <v>25</v>
      </c>
      <c r="E18" s="84">
        <v>635735</v>
      </c>
      <c r="F18" s="185" t="s">
        <v>26</v>
      </c>
      <c r="G18" s="185" t="s">
        <v>498</v>
      </c>
      <c r="H18" s="164" t="s">
        <v>28</v>
      </c>
      <c r="I18" s="115">
        <v>305170.95</v>
      </c>
    </row>
    <row r="19" spans="1:9" ht="70.5" customHeight="1">
      <c r="A19" s="186"/>
      <c r="B19" s="168"/>
      <c r="C19" s="184"/>
      <c r="D19" s="164"/>
      <c r="E19" s="17" t="s">
        <v>91</v>
      </c>
      <c r="F19" s="185"/>
      <c r="G19" s="185"/>
      <c r="H19" s="164"/>
      <c r="I19" s="8" t="s">
        <v>632</v>
      </c>
    </row>
    <row r="20" spans="1:9" ht="33" customHeight="1">
      <c r="A20" s="186" t="s">
        <v>18</v>
      </c>
      <c r="B20" s="188" t="s">
        <v>77</v>
      </c>
      <c r="C20" s="184">
        <v>2230</v>
      </c>
      <c r="D20" s="164" t="s">
        <v>25</v>
      </c>
      <c r="E20" s="84">
        <f>1990120-200000</f>
        <v>1790120</v>
      </c>
      <c r="F20" s="185" t="s">
        <v>26</v>
      </c>
      <c r="G20" s="185" t="s">
        <v>27</v>
      </c>
      <c r="H20" s="164" t="s">
        <v>28</v>
      </c>
      <c r="I20" s="18">
        <v>1694000</v>
      </c>
    </row>
    <row r="21" spans="1:9" ht="77.25" customHeight="1">
      <c r="A21" s="186"/>
      <c r="B21" s="188"/>
      <c r="C21" s="184"/>
      <c r="D21" s="164"/>
      <c r="E21" s="17" t="s">
        <v>637</v>
      </c>
      <c r="F21" s="185"/>
      <c r="G21" s="185"/>
      <c r="H21" s="164"/>
      <c r="I21" s="8" t="s">
        <v>120</v>
      </c>
    </row>
    <row r="22" spans="1:9" ht="30" customHeight="1">
      <c r="A22" s="186" t="s">
        <v>19</v>
      </c>
      <c r="B22" s="168" t="s">
        <v>78</v>
      </c>
      <c r="C22" s="184">
        <v>2230</v>
      </c>
      <c r="D22" s="164" t="s">
        <v>25</v>
      </c>
      <c r="E22" s="84">
        <v>956000</v>
      </c>
      <c r="F22" s="185" t="s">
        <v>26</v>
      </c>
      <c r="G22" s="185" t="s">
        <v>27</v>
      </c>
      <c r="H22" s="164" t="s">
        <v>28</v>
      </c>
      <c r="I22" s="18">
        <v>839500</v>
      </c>
    </row>
    <row r="23" spans="1:9" ht="54.75" customHeight="1">
      <c r="A23" s="186"/>
      <c r="B23" s="168"/>
      <c r="C23" s="184"/>
      <c r="D23" s="164"/>
      <c r="E23" s="17" t="s">
        <v>92</v>
      </c>
      <c r="F23" s="185"/>
      <c r="G23" s="185"/>
      <c r="H23" s="164"/>
      <c r="I23" s="8" t="s">
        <v>120</v>
      </c>
    </row>
    <row r="24" spans="1:10" ht="27.75" customHeight="1">
      <c r="A24" s="186" t="s">
        <v>20</v>
      </c>
      <c r="B24" s="168" t="s">
        <v>79</v>
      </c>
      <c r="C24" s="184">
        <v>2230</v>
      </c>
      <c r="D24" s="164" t="s">
        <v>25</v>
      </c>
      <c r="E24" s="84">
        <v>2340000</v>
      </c>
      <c r="F24" s="185" t="s">
        <v>26</v>
      </c>
      <c r="G24" s="185" t="s">
        <v>27</v>
      </c>
      <c r="H24" s="164" t="s">
        <v>28</v>
      </c>
      <c r="I24" s="18">
        <v>2268000</v>
      </c>
      <c r="J24" s="6"/>
    </row>
    <row r="25" spans="1:10" ht="59.25" customHeight="1">
      <c r="A25" s="186"/>
      <c r="B25" s="168"/>
      <c r="C25" s="184"/>
      <c r="D25" s="164"/>
      <c r="E25" s="17" t="s">
        <v>93</v>
      </c>
      <c r="F25" s="185"/>
      <c r="G25" s="185"/>
      <c r="H25" s="164"/>
      <c r="I25" s="8" t="s">
        <v>120</v>
      </c>
      <c r="J25" s="6"/>
    </row>
    <row r="26" spans="1:10" ht="31.5" customHeight="1">
      <c r="A26" s="186" t="s">
        <v>21</v>
      </c>
      <c r="B26" s="168" t="s">
        <v>80</v>
      </c>
      <c r="C26" s="184">
        <v>2230</v>
      </c>
      <c r="D26" s="164" t="s">
        <v>25</v>
      </c>
      <c r="E26" s="84">
        <f>1994850-500000</f>
        <v>1494850</v>
      </c>
      <c r="F26" s="185" t="s">
        <v>26</v>
      </c>
      <c r="G26" s="185" t="s">
        <v>27</v>
      </c>
      <c r="H26" s="164" t="s">
        <v>28</v>
      </c>
      <c r="I26" s="18">
        <v>1374360</v>
      </c>
      <c r="J26" s="6"/>
    </row>
    <row r="27" spans="1:10" ht="84.75" customHeight="1">
      <c r="A27" s="186"/>
      <c r="B27" s="168"/>
      <c r="C27" s="184"/>
      <c r="D27" s="164"/>
      <c r="E27" s="17" t="s">
        <v>638</v>
      </c>
      <c r="F27" s="185"/>
      <c r="G27" s="185"/>
      <c r="H27" s="164"/>
      <c r="I27" s="8" t="s">
        <v>120</v>
      </c>
      <c r="J27" s="6"/>
    </row>
    <row r="28" spans="1:10" ht="30.75" customHeight="1">
      <c r="A28" s="186" t="s">
        <v>22</v>
      </c>
      <c r="B28" s="168" t="s">
        <v>81</v>
      </c>
      <c r="C28" s="184">
        <v>2230</v>
      </c>
      <c r="D28" s="164" t="s">
        <v>25</v>
      </c>
      <c r="E28" s="84">
        <v>422790</v>
      </c>
      <c r="F28" s="185" t="s">
        <v>26</v>
      </c>
      <c r="G28" s="185" t="s">
        <v>27</v>
      </c>
      <c r="H28" s="164" t="s">
        <v>28</v>
      </c>
      <c r="I28" s="18">
        <v>422790</v>
      </c>
      <c r="J28" s="6"/>
    </row>
    <row r="29" spans="1:10" ht="75" customHeight="1">
      <c r="A29" s="186"/>
      <c r="B29" s="168"/>
      <c r="C29" s="184"/>
      <c r="D29" s="164"/>
      <c r="E29" s="17" t="s">
        <v>94</v>
      </c>
      <c r="F29" s="185"/>
      <c r="G29" s="185"/>
      <c r="H29" s="164"/>
      <c r="I29" s="8" t="s">
        <v>632</v>
      </c>
      <c r="J29" s="6"/>
    </row>
    <row r="30" spans="1:9" ht="30.75" customHeight="1">
      <c r="A30" s="186" t="s">
        <v>23</v>
      </c>
      <c r="B30" s="168" t="s">
        <v>82</v>
      </c>
      <c r="C30" s="184">
        <v>2230</v>
      </c>
      <c r="D30" s="164" t="s">
        <v>25</v>
      </c>
      <c r="E30" s="84">
        <v>1130700</v>
      </c>
      <c r="F30" s="185" t="s">
        <v>26</v>
      </c>
      <c r="G30" s="185" t="s">
        <v>27</v>
      </c>
      <c r="H30" s="164" t="s">
        <v>28</v>
      </c>
      <c r="I30" s="18">
        <v>1051800</v>
      </c>
    </row>
    <row r="31" spans="1:9" ht="63" customHeight="1">
      <c r="A31" s="186"/>
      <c r="B31" s="168"/>
      <c r="C31" s="184"/>
      <c r="D31" s="164"/>
      <c r="E31" s="17" t="s">
        <v>95</v>
      </c>
      <c r="F31" s="185"/>
      <c r="G31" s="185"/>
      <c r="H31" s="164"/>
      <c r="I31" s="8" t="s">
        <v>120</v>
      </c>
    </row>
    <row r="32" spans="1:9" ht="32.25" customHeight="1">
      <c r="A32" s="186" t="s">
        <v>24</v>
      </c>
      <c r="B32" s="177" t="s">
        <v>31</v>
      </c>
      <c r="C32" s="184">
        <v>2230</v>
      </c>
      <c r="D32" s="164" t="s">
        <v>25</v>
      </c>
      <c r="E32" s="84">
        <v>403000</v>
      </c>
      <c r="F32" s="185" t="s">
        <v>26</v>
      </c>
      <c r="G32" s="185" t="s">
        <v>27</v>
      </c>
      <c r="H32" s="164" t="s">
        <v>28</v>
      </c>
      <c r="I32" s="18">
        <v>357240</v>
      </c>
    </row>
    <row r="33" spans="1:9" ht="49.5" customHeight="1">
      <c r="A33" s="186"/>
      <c r="B33" s="177"/>
      <c r="C33" s="184"/>
      <c r="D33" s="164"/>
      <c r="E33" s="17" t="s">
        <v>96</v>
      </c>
      <c r="F33" s="185"/>
      <c r="G33" s="185"/>
      <c r="H33" s="164"/>
      <c r="I33" s="8" t="s">
        <v>120</v>
      </c>
    </row>
    <row r="34" spans="1:9" ht="31.5" customHeight="1">
      <c r="A34" s="186" t="s">
        <v>35</v>
      </c>
      <c r="B34" s="177" t="s">
        <v>32</v>
      </c>
      <c r="C34" s="184">
        <v>2230</v>
      </c>
      <c r="D34" s="164" t="s">
        <v>25</v>
      </c>
      <c r="E34" s="84">
        <v>363900</v>
      </c>
      <c r="F34" s="185" t="s">
        <v>26</v>
      </c>
      <c r="G34" s="185" t="s">
        <v>27</v>
      </c>
      <c r="H34" s="164" t="s">
        <v>28</v>
      </c>
      <c r="I34" s="165"/>
    </row>
    <row r="35" spans="1:9" ht="63" customHeight="1">
      <c r="A35" s="186"/>
      <c r="B35" s="177"/>
      <c r="C35" s="184"/>
      <c r="D35" s="164"/>
      <c r="E35" s="17" t="s">
        <v>97</v>
      </c>
      <c r="F35" s="185"/>
      <c r="G35" s="185"/>
      <c r="H35" s="164"/>
      <c r="I35" s="174"/>
    </row>
    <row r="36" spans="1:9" ht="32.25" customHeight="1">
      <c r="A36" s="186" t="s">
        <v>36</v>
      </c>
      <c r="B36" s="177" t="s">
        <v>33</v>
      </c>
      <c r="C36" s="184">
        <v>2230</v>
      </c>
      <c r="D36" s="164" t="s">
        <v>25</v>
      </c>
      <c r="E36" s="84">
        <v>1241600</v>
      </c>
      <c r="F36" s="185" t="s">
        <v>26</v>
      </c>
      <c r="G36" s="185" t="s">
        <v>499</v>
      </c>
      <c r="H36" s="164" t="s">
        <v>28</v>
      </c>
      <c r="I36" s="103">
        <v>1032618.42</v>
      </c>
    </row>
    <row r="37" spans="1:9" ht="68.25" customHeight="1">
      <c r="A37" s="186"/>
      <c r="B37" s="177"/>
      <c r="C37" s="184"/>
      <c r="D37" s="164"/>
      <c r="E37" s="17" t="s">
        <v>98</v>
      </c>
      <c r="F37" s="185"/>
      <c r="G37" s="185"/>
      <c r="H37" s="164"/>
      <c r="I37" s="8" t="s">
        <v>632</v>
      </c>
    </row>
    <row r="38" spans="1:9" ht="30" customHeight="1">
      <c r="A38" s="186" t="s">
        <v>37</v>
      </c>
      <c r="B38" s="177" t="s">
        <v>34</v>
      </c>
      <c r="C38" s="184">
        <v>2230</v>
      </c>
      <c r="D38" s="164" t="s">
        <v>25</v>
      </c>
      <c r="E38" s="84">
        <f>1358100-500000</f>
        <v>858100</v>
      </c>
      <c r="F38" s="185" t="s">
        <v>68</v>
      </c>
      <c r="G38" s="185" t="s">
        <v>568</v>
      </c>
      <c r="H38" s="164" t="s">
        <v>28</v>
      </c>
      <c r="I38" s="103">
        <v>858100</v>
      </c>
    </row>
    <row r="39" spans="1:9" ht="60" customHeight="1">
      <c r="A39" s="186"/>
      <c r="B39" s="177"/>
      <c r="C39" s="184"/>
      <c r="D39" s="164"/>
      <c r="E39" s="17" t="s">
        <v>674</v>
      </c>
      <c r="F39" s="185"/>
      <c r="G39" s="185"/>
      <c r="H39" s="164"/>
      <c r="I39" s="8" t="s">
        <v>120</v>
      </c>
    </row>
    <row r="40" spans="1:9" ht="23.25" customHeight="1">
      <c r="A40" s="186" t="s">
        <v>38</v>
      </c>
      <c r="B40" s="177" t="s">
        <v>39</v>
      </c>
      <c r="C40" s="184">
        <v>2230</v>
      </c>
      <c r="D40" s="164" t="s">
        <v>25</v>
      </c>
      <c r="E40" s="84">
        <v>527900</v>
      </c>
      <c r="F40" s="185" t="s">
        <v>26</v>
      </c>
      <c r="G40" s="185" t="s">
        <v>500</v>
      </c>
      <c r="H40" s="164" t="s">
        <v>28</v>
      </c>
      <c r="I40" s="103">
        <v>319522.5</v>
      </c>
    </row>
    <row r="41" spans="1:9" ht="74.25" customHeight="1">
      <c r="A41" s="186"/>
      <c r="B41" s="177"/>
      <c r="C41" s="184"/>
      <c r="D41" s="164"/>
      <c r="E41" s="17" t="s">
        <v>99</v>
      </c>
      <c r="F41" s="185"/>
      <c r="G41" s="185"/>
      <c r="H41" s="164"/>
      <c r="I41" s="8" t="s">
        <v>632</v>
      </c>
    </row>
    <row r="42" spans="1:9" ht="34.5" customHeight="1">
      <c r="A42" s="186" t="s">
        <v>50</v>
      </c>
      <c r="B42" s="177" t="s">
        <v>40</v>
      </c>
      <c r="C42" s="184">
        <v>2230</v>
      </c>
      <c r="D42" s="164" t="s">
        <v>25</v>
      </c>
      <c r="E42" s="84">
        <v>139200</v>
      </c>
      <c r="F42" s="185" t="s">
        <v>26</v>
      </c>
      <c r="G42" s="185" t="s">
        <v>119</v>
      </c>
      <c r="H42" s="164" t="s">
        <v>28</v>
      </c>
      <c r="I42" s="18">
        <v>130250</v>
      </c>
    </row>
    <row r="43" spans="1:9" ht="44.25" customHeight="1">
      <c r="A43" s="186"/>
      <c r="B43" s="177"/>
      <c r="C43" s="184"/>
      <c r="D43" s="164"/>
      <c r="E43" s="17" t="s">
        <v>100</v>
      </c>
      <c r="F43" s="185"/>
      <c r="G43" s="185"/>
      <c r="H43" s="164"/>
      <c r="I43" s="8" t="s">
        <v>120</v>
      </c>
    </row>
    <row r="44" spans="1:9" ht="31.5" customHeight="1">
      <c r="A44" s="186" t="s">
        <v>51</v>
      </c>
      <c r="B44" s="170" t="s">
        <v>41</v>
      </c>
      <c r="C44" s="184">
        <v>2230</v>
      </c>
      <c r="D44" s="164" t="s">
        <v>25</v>
      </c>
      <c r="E44" s="84">
        <v>568635</v>
      </c>
      <c r="F44" s="185" t="s">
        <v>26</v>
      </c>
      <c r="G44" s="185" t="s">
        <v>119</v>
      </c>
      <c r="H44" s="164" t="s">
        <v>28</v>
      </c>
      <c r="I44" s="17">
        <f>493920-21742.5</f>
        <v>472177.5</v>
      </c>
    </row>
    <row r="45" spans="1:9" ht="65.25" customHeight="1">
      <c r="A45" s="186"/>
      <c r="B45" s="180"/>
      <c r="C45" s="184"/>
      <c r="D45" s="164"/>
      <c r="E45" s="17" t="s">
        <v>101</v>
      </c>
      <c r="F45" s="185"/>
      <c r="G45" s="185"/>
      <c r="H45" s="164"/>
      <c r="I45" s="8" t="s">
        <v>632</v>
      </c>
    </row>
    <row r="46" spans="1:9" ht="32.25" customHeight="1">
      <c r="A46" s="186" t="s">
        <v>52</v>
      </c>
      <c r="B46" s="177" t="s">
        <v>42</v>
      </c>
      <c r="C46" s="184">
        <v>2230</v>
      </c>
      <c r="D46" s="164" t="s">
        <v>25</v>
      </c>
      <c r="E46" s="84">
        <v>495000</v>
      </c>
      <c r="F46" s="185" t="s">
        <v>26</v>
      </c>
      <c r="G46" s="185" t="s">
        <v>119</v>
      </c>
      <c r="H46" s="164" t="s">
        <v>28</v>
      </c>
      <c r="I46" s="103">
        <v>495000</v>
      </c>
    </row>
    <row r="47" spans="1:9" ht="69.75" customHeight="1">
      <c r="A47" s="186"/>
      <c r="B47" s="177"/>
      <c r="C47" s="184"/>
      <c r="D47" s="164"/>
      <c r="E47" s="17" t="s">
        <v>102</v>
      </c>
      <c r="F47" s="185"/>
      <c r="G47" s="185"/>
      <c r="H47" s="164"/>
      <c r="I47" s="8" t="s">
        <v>632</v>
      </c>
    </row>
    <row r="48" spans="1:9" ht="29.25" customHeight="1">
      <c r="A48" s="186" t="s">
        <v>53</v>
      </c>
      <c r="B48" s="177" t="s">
        <v>43</v>
      </c>
      <c r="C48" s="184">
        <v>2230</v>
      </c>
      <c r="D48" s="164" t="s">
        <v>25</v>
      </c>
      <c r="E48" s="84">
        <v>229400</v>
      </c>
      <c r="F48" s="185" t="s">
        <v>26</v>
      </c>
      <c r="G48" s="185" t="s">
        <v>498</v>
      </c>
      <c r="H48" s="164" t="s">
        <v>28</v>
      </c>
      <c r="I48" s="103">
        <v>127680.45</v>
      </c>
    </row>
    <row r="49" spans="1:9" ht="69.75" customHeight="1">
      <c r="A49" s="186"/>
      <c r="B49" s="177"/>
      <c r="C49" s="184"/>
      <c r="D49" s="164"/>
      <c r="E49" s="17" t="s">
        <v>103</v>
      </c>
      <c r="F49" s="185"/>
      <c r="G49" s="185"/>
      <c r="H49" s="164"/>
      <c r="I49" s="8" t="s">
        <v>632</v>
      </c>
    </row>
    <row r="50" spans="1:9" ht="29.25" customHeight="1">
      <c r="A50" s="186" t="s">
        <v>54</v>
      </c>
      <c r="B50" s="177" t="s">
        <v>44</v>
      </c>
      <c r="C50" s="184">
        <v>2230</v>
      </c>
      <c r="D50" s="164" t="s">
        <v>25</v>
      </c>
      <c r="E50" s="84">
        <v>247370</v>
      </c>
      <c r="F50" s="185" t="s">
        <v>26</v>
      </c>
      <c r="G50" s="185" t="s">
        <v>499</v>
      </c>
      <c r="H50" s="164" t="s">
        <v>28</v>
      </c>
      <c r="I50" s="103">
        <v>162120</v>
      </c>
    </row>
    <row r="51" spans="1:9" ht="76.5" customHeight="1">
      <c r="A51" s="186"/>
      <c r="B51" s="177"/>
      <c r="C51" s="184"/>
      <c r="D51" s="164"/>
      <c r="E51" s="17" t="s">
        <v>104</v>
      </c>
      <c r="F51" s="185"/>
      <c r="G51" s="185"/>
      <c r="H51" s="164"/>
      <c r="I51" s="8" t="s">
        <v>120</v>
      </c>
    </row>
    <row r="52" spans="1:9" ht="32.25" customHeight="1">
      <c r="A52" s="186" t="s">
        <v>55</v>
      </c>
      <c r="B52" s="177" t="s">
        <v>45</v>
      </c>
      <c r="C52" s="184">
        <v>2230</v>
      </c>
      <c r="D52" s="164" t="s">
        <v>25</v>
      </c>
      <c r="E52" s="84">
        <v>273570</v>
      </c>
      <c r="F52" s="185" t="s">
        <v>26</v>
      </c>
      <c r="G52" s="185" t="s">
        <v>500</v>
      </c>
      <c r="H52" s="164" t="s">
        <v>28</v>
      </c>
      <c r="I52" s="103">
        <v>227370</v>
      </c>
    </row>
    <row r="53" spans="1:9" ht="90.75" customHeight="1">
      <c r="A53" s="186"/>
      <c r="B53" s="177"/>
      <c r="C53" s="184"/>
      <c r="D53" s="164"/>
      <c r="E53" s="17" t="s">
        <v>105</v>
      </c>
      <c r="F53" s="185"/>
      <c r="G53" s="185"/>
      <c r="H53" s="164"/>
      <c r="I53" s="8" t="s">
        <v>632</v>
      </c>
    </row>
    <row r="54" spans="1:9" ht="27.75" customHeight="1">
      <c r="A54" s="186" t="s">
        <v>56</v>
      </c>
      <c r="B54" s="187" t="s">
        <v>46</v>
      </c>
      <c r="C54" s="184">
        <v>2230</v>
      </c>
      <c r="D54" s="164" t="s">
        <v>25</v>
      </c>
      <c r="E54" s="84">
        <v>491313</v>
      </c>
      <c r="F54" s="185" t="s">
        <v>26</v>
      </c>
      <c r="G54" s="185" t="s">
        <v>498</v>
      </c>
      <c r="H54" s="164" t="s">
        <v>28</v>
      </c>
      <c r="I54" s="103">
        <v>321310.5</v>
      </c>
    </row>
    <row r="55" spans="1:9" ht="72.75" customHeight="1">
      <c r="A55" s="186"/>
      <c r="B55" s="187"/>
      <c r="C55" s="184"/>
      <c r="D55" s="164"/>
      <c r="E55" s="17" t="s">
        <v>106</v>
      </c>
      <c r="F55" s="185"/>
      <c r="G55" s="185"/>
      <c r="H55" s="164"/>
      <c r="I55" s="8" t="s">
        <v>632</v>
      </c>
    </row>
    <row r="56" spans="1:9" ht="47.25" customHeight="1">
      <c r="A56" s="186" t="s">
        <v>57</v>
      </c>
      <c r="B56" s="177" t="s">
        <v>47</v>
      </c>
      <c r="C56" s="184">
        <v>2230</v>
      </c>
      <c r="D56" s="164" t="s">
        <v>25</v>
      </c>
      <c r="E56" s="84">
        <v>1205540</v>
      </c>
      <c r="F56" s="164" t="s">
        <v>651</v>
      </c>
      <c r="G56" s="185" t="s">
        <v>639</v>
      </c>
      <c r="H56" s="164" t="s">
        <v>28</v>
      </c>
      <c r="I56" s="103" t="s">
        <v>721</v>
      </c>
    </row>
    <row r="57" spans="1:9" ht="193.5" customHeight="1">
      <c r="A57" s="186"/>
      <c r="B57" s="177"/>
      <c r="C57" s="184"/>
      <c r="D57" s="164"/>
      <c r="E57" s="17" t="s">
        <v>578</v>
      </c>
      <c r="F57" s="164"/>
      <c r="G57" s="185"/>
      <c r="H57" s="164"/>
      <c r="I57" s="8" t="s">
        <v>730</v>
      </c>
    </row>
    <row r="58" spans="1:9" ht="25.5" customHeight="1">
      <c r="A58" s="186" t="s">
        <v>58</v>
      </c>
      <c r="B58" s="177" t="s">
        <v>48</v>
      </c>
      <c r="C58" s="184">
        <v>2230</v>
      </c>
      <c r="D58" s="164" t="s">
        <v>25</v>
      </c>
      <c r="E58" s="84">
        <v>151500</v>
      </c>
      <c r="F58" s="185" t="s">
        <v>68</v>
      </c>
      <c r="G58" s="185" t="s">
        <v>568</v>
      </c>
      <c r="H58" s="164" t="s">
        <v>28</v>
      </c>
      <c r="I58" s="103">
        <v>151500</v>
      </c>
    </row>
    <row r="59" spans="1:9" ht="50.25" customHeight="1">
      <c r="A59" s="186"/>
      <c r="B59" s="177"/>
      <c r="C59" s="184"/>
      <c r="D59" s="164"/>
      <c r="E59" s="17" t="s">
        <v>579</v>
      </c>
      <c r="F59" s="185"/>
      <c r="G59" s="185"/>
      <c r="H59" s="164"/>
      <c r="I59" s="8" t="s">
        <v>120</v>
      </c>
    </row>
    <row r="60" spans="1:9" ht="32.25" customHeight="1">
      <c r="A60" s="186" t="s">
        <v>59</v>
      </c>
      <c r="B60" s="177" t="s">
        <v>49</v>
      </c>
      <c r="C60" s="184">
        <v>2230</v>
      </c>
      <c r="D60" s="164" t="s">
        <v>25</v>
      </c>
      <c r="E60" s="84">
        <v>392500</v>
      </c>
      <c r="F60" s="185" t="s">
        <v>68</v>
      </c>
      <c r="G60" s="185" t="s">
        <v>568</v>
      </c>
      <c r="H60" s="164" t="s">
        <v>28</v>
      </c>
      <c r="I60" s="103">
        <v>392500</v>
      </c>
    </row>
    <row r="61" spans="1:9" ht="75" customHeight="1">
      <c r="A61" s="186"/>
      <c r="B61" s="177"/>
      <c r="C61" s="184"/>
      <c r="D61" s="164"/>
      <c r="E61" s="17" t="s">
        <v>580</v>
      </c>
      <c r="F61" s="185"/>
      <c r="G61" s="185"/>
      <c r="H61" s="164"/>
      <c r="I61" s="8" t="s">
        <v>120</v>
      </c>
    </row>
    <row r="62" spans="1:9" ht="33" customHeight="1">
      <c r="A62" s="177" t="s">
        <v>60</v>
      </c>
      <c r="B62" s="177" t="s">
        <v>83</v>
      </c>
      <c r="C62" s="177">
        <v>2240</v>
      </c>
      <c r="D62" s="164" t="s">
        <v>25</v>
      </c>
      <c r="E62" s="84">
        <v>121028.16</v>
      </c>
      <c r="F62" s="172" t="s">
        <v>68</v>
      </c>
      <c r="G62" s="172" t="s">
        <v>569</v>
      </c>
      <c r="H62" s="172" t="s">
        <v>61</v>
      </c>
      <c r="I62" s="172"/>
    </row>
    <row r="63" spans="1:9" ht="77.25" customHeight="1">
      <c r="A63" s="177"/>
      <c r="B63" s="177"/>
      <c r="C63" s="177"/>
      <c r="D63" s="164"/>
      <c r="E63" s="17" t="s">
        <v>570</v>
      </c>
      <c r="F63" s="172"/>
      <c r="G63" s="172"/>
      <c r="H63" s="172"/>
      <c r="I63" s="172"/>
    </row>
    <row r="64" spans="1:9" ht="29.25" customHeight="1">
      <c r="A64" s="181" t="s">
        <v>69</v>
      </c>
      <c r="B64" s="177" t="s">
        <v>67</v>
      </c>
      <c r="C64" s="177">
        <v>2273</v>
      </c>
      <c r="D64" s="164" t="s">
        <v>25</v>
      </c>
      <c r="E64" s="84">
        <f>3713058.34+134162.66</f>
        <v>3847221</v>
      </c>
      <c r="F64" s="164" t="s">
        <v>68</v>
      </c>
      <c r="G64" s="172" t="s">
        <v>115</v>
      </c>
      <c r="H64" s="172" t="s">
        <v>554</v>
      </c>
      <c r="I64" s="164"/>
    </row>
    <row r="65" spans="1:9" ht="80.25" customHeight="1">
      <c r="A65" s="181"/>
      <c r="B65" s="177"/>
      <c r="C65" s="177"/>
      <c r="D65" s="164"/>
      <c r="E65" s="17" t="s">
        <v>163</v>
      </c>
      <c r="F65" s="164"/>
      <c r="G65" s="172"/>
      <c r="H65" s="172"/>
      <c r="I65" s="164"/>
    </row>
    <row r="66" spans="1:9" ht="27.75" customHeight="1">
      <c r="A66" s="181" t="s">
        <v>71</v>
      </c>
      <c r="B66" s="177" t="s">
        <v>70</v>
      </c>
      <c r="C66" s="177">
        <v>2272</v>
      </c>
      <c r="D66" s="164" t="s">
        <v>25</v>
      </c>
      <c r="E66" s="84">
        <f>2193080+24663</f>
        <v>2217743</v>
      </c>
      <c r="F66" s="164" t="s">
        <v>68</v>
      </c>
      <c r="G66" s="172" t="s">
        <v>115</v>
      </c>
      <c r="H66" s="172" t="s">
        <v>61</v>
      </c>
      <c r="I66" s="164"/>
    </row>
    <row r="67" spans="1:9" ht="68.25" customHeight="1">
      <c r="A67" s="181"/>
      <c r="B67" s="177"/>
      <c r="C67" s="177"/>
      <c r="D67" s="164"/>
      <c r="E67" s="26" t="s">
        <v>87</v>
      </c>
      <c r="F67" s="164"/>
      <c r="G67" s="172"/>
      <c r="H67" s="172"/>
      <c r="I67" s="164"/>
    </row>
    <row r="68" spans="1:9" ht="30" customHeight="1">
      <c r="A68" s="181" t="s">
        <v>72</v>
      </c>
      <c r="B68" s="177" t="s">
        <v>73</v>
      </c>
      <c r="C68" s="177">
        <v>2274</v>
      </c>
      <c r="D68" s="164" t="s">
        <v>25</v>
      </c>
      <c r="E68" s="84">
        <f>342697+110</f>
        <v>342807</v>
      </c>
      <c r="F68" s="164" t="s">
        <v>68</v>
      </c>
      <c r="G68" s="172" t="s">
        <v>115</v>
      </c>
      <c r="H68" s="172" t="s">
        <v>61</v>
      </c>
      <c r="I68" s="164"/>
    </row>
    <row r="69" spans="1:9" ht="45.75" customHeight="1">
      <c r="A69" s="181"/>
      <c r="B69" s="177"/>
      <c r="C69" s="177"/>
      <c r="D69" s="164"/>
      <c r="E69" s="17" t="s">
        <v>88</v>
      </c>
      <c r="F69" s="164"/>
      <c r="G69" s="172"/>
      <c r="H69" s="172"/>
      <c r="I69" s="164"/>
    </row>
    <row r="70" spans="1:9" ht="23.25" customHeight="1">
      <c r="A70" s="181" t="s">
        <v>110</v>
      </c>
      <c r="B70" s="177" t="s">
        <v>84</v>
      </c>
      <c r="C70" s="177">
        <v>2240</v>
      </c>
      <c r="D70" s="164" t="s">
        <v>25</v>
      </c>
      <c r="E70" s="84">
        <f>137248-841+421-20357.61+299.61</f>
        <v>116770</v>
      </c>
      <c r="F70" s="164" t="s">
        <v>68</v>
      </c>
      <c r="G70" s="172" t="s">
        <v>575</v>
      </c>
      <c r="H70" s="172" t="s">
        <v>61</v>
      </c>
      <c r="I70" s="164"/>
    </row>
    <row r="71" spans="1:9" ht="102.75" customHeight="1" hidden="1" thickBot="1">
      <c r="A71" s="181"/>
      <c r="B71" s="177"/>
      <c r="C71" s="177"/>
      <c r="D71" s="164"/>
      <c r="E71" s="10"/>
      <c r="F71" s="164"/>
      <c r="G71" s="172"/>
      <c r="H71" s="172"/>
      <c r="I71" s="164"/>
    </row>
    <row r="72" spans="1:9" ht="77.25" customHeight="1">
      <c r="A72" s="181"/>
      <c r="B72" s="177"/>
      <c r="C72" s="177"/>
      <c r="D72" s="164"/>
      <c r="E72" s="17" t="s">
        <v>566</v>
      </c>
      <c r="F72" s="164"/>
      <c r="G72" s="172"/>
      <c r="H72" s="172"/>
      <c r="I72" s="164"/>
    </row>
    <row r="73" spans="1:9" ht="30" customHeight="1">
      <c r="A73" s="181" t="s">
        <v>111</v>
      </c>
      <c r="B73" s="177" t="s">
        <v>85</v>
      </c>
      <c r="C73" s="177">
        <v>2271</v>
      </c>
      <c r="D73" s="164" t="s">
        <v>25</v>
      </c>
      <c r="E73" s="84">
        <f>208397.66+14976238.72+8507801.05</f>
        <v>23692437.43</v>
      </c>
      <c r="F73" s="164" t="s">
        <v>68</v>
      </c>
      <c r="G73" s="172" t="s">
        <v>115</v>
      </c>
      <c r="H73" s="172" t="s">
        <v>61</v>
      </c>
      <c r="I73" s="164" t="s">
        <v>705</v>
      </c>
    </row>
    <row r="74" spans="1:9" ht="114" customHeight="1">
      <c r="A74" s="181"/>
      <c r="B74" s="177"/>
      <c r="C74" s="177"/>
      <c r="D74" s="164"/>
      <c r="E74" s="17" t="s">
        <v>502</v>
      </c>
      <c r="F74" s="164"/>
      <c r="G74" s="172"/>
      <c r="H74" s="172"/>
      <c r="I74" s="164"/>
    </row>
    <row r="75" spans="1:9" ht="32.25" customHeight="1">
      <c r="A75" s="181" t="s">
        <v>112</v>
      </c>
      <c r="B75" s="177" t="s">
        <v>86</v>
      </c>
      <c r="C75" s="177">
        <v>2240</v>
      </c>
      <c r="D75" s="164" t="s">
        <v>25</v>
      </c>
      <c r="E75" s="84">
        <f>420590-73832</f>
        <v>346758</v>
      </c>
      <c r="F75" s="164" t="s">
        <v>651</v>
      </c>
      <c r="G75" s="172" t="s">
        <v>116</v>
      </c>
      <c r="H75" s="172" t="s">
        <v>555</v>
      </c>
      <c r="I75" s="164"/>
    </row>
    <row r="76" spans="1:9" ht="71.25" customHeight="1">
      <c r="A76" s="181"/>
      <c r="B76" s="177"/>
      <c r="C76" s="177"/>
      <c r="D76" s="164"/>
      <c r="E76" s="17" t="s">
        <v>503</v>
      </c>
      <c r="F76" s="164"/>
      <c r="G76" s="172"/>
      <c r="H76" s="172"/>
      <c r="I76" s="164"/>
    </row>
    <row r="77" spans="1:9" ht="37.5" customHeight="1">
      <c r="A77" s="181" t="s">
        <v>113</v>
      </c>
      <c r="B77" s="177" t="s">
        <v>107</v>
      </c>
      <c r="C77" s="177">
        <v>2240</v>
      </c>
      <c r="D77" s="164" t="s">
        <v>25</v>
      </c>
      <c r="E77" s="84">
        <f>140600-27940</f>
        <v>112660</v>
      </c>
      <c r="F77" s="164" t="s">
        <v>651</v>
      </c>
      <c r="G77" s="172" t="s">
        <v>116</v>
      </c>
      <c r="H77" s="172" t="s">
        <v>61</v>
      </c>
      <c r="I77" s="164"/>
    </row>
    <row r="78" spans="1:9" ht="66" customHeight="1">
      <c r="A78" s="181"/>
      <c r="B78" s="177"/>
      <c r="C78" s="177"/>
      <c r="D78" s="164"/>
      <c r="E78" s="17" t="s">
        <v>108</v>
      </c>
      <c r="F78" s="164"/>
      <c r="G78" s="172"/>
      <c r="H78" s="172"/>
      <c r="I78" s="164"/>
    </row>
    <row r="79" spans="1:9" ht="31.5" customHeight="1">
      <c r="A79" s="181" t="s">
        <v>114</v>
      </c>
      <c r="B79" s="182" t="s">
        <v>118</v>
      </c>
      <c r="C79" s="177">
        <v>2240</v>
      </c>
      <c r="D79" s="164" t="s">
        <v>25</v>
      </c>
      <c r="E79" s="84">
        <f>199000-33524</f>
        <v>165476</v>
      </c>
      <c r="F79" s="164" t="s">
        <v>651</v>
      </c>
      <c r="G79" s="172" t="s">
        <v>116</v>
      </c>
      <c r="H79" s="172" t="s">
        <v>61</v>
      </c>
      <c r="I79" s="164"/>
    </row>
    <row r="80" spans="1:9" ht="98.25" customHeight="1">
      <c r="A80" s="181"/>
      <c r="B80" s="183"/>
      <c r="C80" s="177"/>
      <c r="D80" s="164"/>
      <c r="E80" s="15" t="s">
        <v>109</v>
      </c>
      <c r="F80" s="164"/>
      <c r="G80" s="172"/>
      <c r="H80" s="172"/>
      <c r="I80" s="164"/>
    </row>
    <row r="81" spans="1:9" ht="47.25" customHeight="1">
      <c r="A81" s="166" t="s">
        <v>489</v>
      </c>
      <c r="B81" s="178" t="s">
        <v>466</v>
      </c>
      <c r="C81" s="170">
        <v>3110</v>
      </c>
      <c r="D81" s="164" t="s">
        <v>25</v>
      </c>
      <c r="E81" s="83">
        <f>15000+24000+41000+70000+16000+11000+11000-43000-21506</f>
        <v>123494</v>
      </c>
      <c r="F81" s="164" t="s">
        <v>26</v>
      </c>
      <c r="G81" s="172" t="s">
        <v>116</v>
      </c>
      <c r="H81" s="173" t="s">
        <v>559</v>
      </c>
      <c r="I81" s="165"/>
    </row>
    <row r="82" spans="1:9" ht="57.75" customHeight="1">
      <c r="A82" s="175"/>
      <c r="B82" s="179"/>
      <c r="C82" s="180"/>
      <c r="D82" s="164"/>
      <c r="E82" s="15" t="s">
        <v>695</v>
      </c>
      <c r="F82" s="164"/>
      <c r="G82" s="172"/>
      <c r="H82" s="176"/>
      <c r="I82" s="174"/>
    </row>
    <row r="83" spans="1:9" ht="43.5" customHeight="1">
      <c r="A83" s="166" t="s">
        <v>490</v>
      </c>
      <c r="B83" s="178" t="s">
        <v>469</v>
      </c>
      <c r="C83" s="170">
        <v>3110</v>
      </c>
      <c r="D83" s="164" t="s">
        <v>25</v>
      </c>
      <c r="E83" s="83">
        <f>240000+197000+43000</f>
        <v>480000</v>
      </c>
      <c r="F83" s="164" t="s">
        <v>26</v>
      </c>
      <c r="G83" s="172" t="s">
        <v>116</v>
      </c>
      <c r="H83" s="173" t="s">
        <v>560</v>
      </c>
      <c r="I83" s="165"/>
    </row>
    <row r="84" spans="1:9" ht="50.25" customHeight="1">
      <c r="A84" s="175"/>
      <c r="B84" s="179"/>
      <c r="C84" s="180"/>
      <c r="D84" s="164"/>
      <c r="E84" s="15" t="s">
        <v>684</v>
      </c>
      <c r="F84" s="164"/>
      <c r="G84" s="172"/>
      <c r="H84" s="176"/>
      <c r="I84" s="174"/>
    </row>
    <row r="85" spans="1:9" ht="45.75" customHeight="1">
      <c r="A85" s="166" t="s">
        <v>491</v>
      </c>
      <c r="B85" s="178" t="s">
        <v>487</v>
      </c>
      <c r="C85" s="170">
        <v>2240</v>
      </c>
      <c r="D85" s="164" t="s">
        <v>25</v>
      </c>
      <c r="E85" s="83">
        <f>236175-30000</f>
        <v>206175</v>
      </c>
      <c r="F85" s="164" t="s">
        <v>26</v>
      </c>
      <c r="G85" s="172" t="s">
        <v>116</v>
      </c>
      <c r="H85" s="173" t="s">
        <v>558</v>
      </c>
      <c r="I85" s="165"/>
    </row>
    <row r="86" spans="1:9" ht="61.5" customHeight="1">
      <c r="A86" s="175"/>
      <c r="B86" s="179"/>
      <c r="C86" s="180"/>
      <c r="D86" s="164"/>
      <c r="E86" s="15" t="s">
        <v>725</v>
      </c>
      <c r="F86" s="164"/>
      <c r="G86" s="172"/>
      <c r="H86" s="176"/>
      <c r="I86" s="174"/>
    </row>
    <row r="87" spans="1:9" ht="37.5" customHeight="1">
      <c r="A87" s="166" t="s">
        <v>492</v>
      </c>
      <c r="B87" s="178" t="s">
        <v>673</v>
      </c>
      <c r="C87" s="170">
        <v>2240</v>
      </c>
      <c r="D87" s="164" t="s">
        <v>25</v>
      </c>
      <c r="E87" s="83">
        <v>600000</v>
      </c>
      <c r="F87" s="164" t="s">
        <v>26</v>
      </c>
      <c r="G87" s="172" t="s">
        <v>116</v>
      </c>
      <c r="H87" s="173" t="s">
        <v>562</v>
      </c>
      <c r="I87" s="165"/>
    </row>
    <row r="88" spans="1:9" ht="132.75" customHeight="1">
      <c r="A88" s="175"/>
      <c r="B88" s="179"/>
      <c r="C88" s="180"/>
      <c r="D88" s="164"/>
      <c r="E88" s="15" t="s">
        <v>551</v>
      </c>
      <c r="F88" s="164"/>
      <c r="G88" s="172"/>
      <c r="H88" s="176"/>
      <c r="I88" s="174"/>
    </row>
    <row r="89" spans="1:9" ht="52.5" customHeight="1">
      <c r="A89" s="166" t="s">
        <v>493</v>
      </c>
      <c r="B89" s="178" t="s">
        <v>538</v>
      </c>
      <c r="C89" s="170">
        <v>2240</v>
      </c>
      <c r="D89" s="164" t="s">
        <v>25</v>
      </c>
      <c r="E89" s="83">
        <v>208760</v>
      </c>
      <c r="F89" s="164" t="s">
        <v>26</v>
      </c>
      <c r="G89" s="172" t="s">
        <v>116</v>
      </c>
      <c r="H89" s="173" t="s">
        <v>563</v>
      </c>
      <c r="I89" s="165"/>
    </row>
    <row r="90" spans="1:9" ht="63.75" customHeight="1">
      <c r="A90" s="175"/>
      <c r="B90" s="179"/>
      <c r="C90" s="180"/>
      <c r="D90" s="164"/>
      <c r="E90" s="15" t="s">
        <v>552</v>
      </c>
      <c r="F90" s="164"/>
      <c r="G90" s="172"/>
      <c r="H90" s="176"/>
      <c r="I90" s="174"/>
    </row>
    <row r="91" spans="1:9" ht="40.5" customHeight="1">
      <c r="A91" s="166" t="s">
        <v>494</v>
      </c>
      <c r="B91" s="178" t="s">
        <v>682</v>
      </c>
      <c r="C91" s="170">
        <v>2230</v>
      </c>
      <c r="D91" s="165" t="s">
        <v>25</v>
      </c>
      <c r="E91" s="83">
        <v>896460</v>
      </c>
      <c r="F91" s="164" t="s">
        <v>26</v>
      </c>
      <c r="G91" s="173" t="s">
        <v>675</v>
      </c>
      <c r="H91" s="164" t="s">
        <v>28</v>
      </c>
      <c r="I91" s="103">
        <v>824850.2</v>
      </c>
    </row>
    <row r="92" spans="1:9" ht="75.75" customHeight="1">
      <c r="A92" s="175"/>
      <c r="B92" s="179"/>
      <c r="C92" s="180"/>
      <c r="D92" s="174"/>
      <c r="E92" s="131" t="s">
        <v>676</v>
      </c>
      <c r="F92" s="164"/>
      <c r="G92" s="176"/>
      <c r="H92" s="164"/>
      <c r="I92" s="161" t="s">
        <v>120</v>
      </c>
    </row>
    <row r="93" spans="1:9" ht="33" customHeight="1">
      <c r="A93" s="166" t="s">
        <v>495</v>
      </c>
      <c r="B93" s="170" t="s">
        <v>70</v>
      </c>
      <c r="C93" s="170">
        <v>2272</v>
      </c>
      <c r="D93" s="165" t="s">
        <v>25</v>
      </c>
      <c r="E93" s="84">
        <f>261000-28000-16900-88578.28</f>
        <v>127521.72</v>
      </c>
      <c r="F93" s="165" t="s">
        <v>651</v>
      </c>
      <c r="G93" s="173" t="s">
        <v>706</v>
      </c>
      <c r="H93" s="165" t="s">
        <v>61</v>
      </c>
      <c r="I93" s="165"/>
    </row>
    <row r="94" spans="1:9" ht="63.75" customHeight="1">
      <c r="A94" s="175"/>
      <c r="B94" s="171"/>
      <c r="C94" s="171"/>
      <c r="D94" s="174"/>
      <c r="E94" s="131" t="s">
        <v>749</v>
      </c>
      <c r="F94" s="174"/>
      <c r="G94" s="176"/>
      <c r="H94" s="174"/>
      <c r="I94" s="174"/>
    </row>
    <row r="95" spans="1:9" ht="36" customHeight="1">
      <c r="A95" s="166" t="s">
        <v>496</v>
      </c>
      <c r="B95" s="177" t="s">
        <v>67</v>
      </c>
      <c r="C95" s="177">
        <v>2273</v>
      </c>
      <c r="D95" s="165" t="s">
        <v>25</v>
      </c>
      <c r="E95" s="83">
        <v>452000</v>
      </c>
      <c r="F95" s="165" t="s">
        <v>651</v>
      </c>
      <c r="G95" s="173" t="s">
        <v>706</v>
      </c>
      <c r="H95" s="165" t="s">
        <v>61</v>
      </c>
      <c r="I95" s="103">
        <v>451999.4</v>
      </c>
    </row>
    <row r="96" spans="1:9" ht="49.5" customHeight="1">
      <c r="A96" s="175"/>
      <c r="B96" s="177"/>
      <c r="C96" s="177"/>
      <c r="D96" s="174"/>
      <c r="E96" s="131" t="s">
        <v>707</v>
      </c>
      <c r="F96" s="174"/>
      <c r="G96" s="176"/>
      <c r="H96" s="174"/>
      <c r="I96" s="161" t="s">
        <v>120</v>
      </c>
    </row>
    <row r="97" spans="1:9" ht="26.25" customHeight="1">
      <c r="A97" s="181" t="s">
        <v>497</v>
      </c>
      <c r="B97" s="177" t="s">
        <v>726</v>
      </c>
      <c r="C97" s="177">
        <v>2230</v>
      </c>
      <c r="D97" s="164" t="s">
        <v>25</v>
      </c>
      <c r="E97" s="83">
        <v>213780</v>
      </c>
      <c r="F97" s="164" t="s">
        <v>26</v>
      </c>
      <c r="G97" s="172" t="s">
        <v>727</v>
      </c>
      <c r="H97" s="164" t="s">
        <v>557</v>
      </c>
      <c r="I97" s="103">
        <v>193850</v>
      </c>
    </row>
    <row r="98" spans="1:9" ht="57.75" customHeight="1">
      <c r="A98" s="181"/>
      <c r="B98" s="177"/>
      <c r="C98" s="177"/>
      <c r="D98" s="164"/>
      <c r="E98" s="131" t="s">
        <v>728</v>
      </c>
      <c r="F98" s="164"/>
      <c r="G98" s="172"/>
      <c r="H98" s="164"/>
      <c r="I98" s="161" t="s">
        <v>120</v>
      </c>
    </row>
    <row r="99" spans="1:9" ht="40.5" customHeight="1">
      <c r="A99" s="166" t="s">
        <v>537</v>
      </c>
      <c r="B99" s="168" t="s">
        <v>79</v>
      </c>
      <c r="C99" s="170">
        <v>2230</v>
      </c>
      <c r="D99" s="164" t="s">
        <v>25</v>
      </c>
      <c r="E99" s="83">
        <v>199440</v>
      </c>
      <c r="F99" s="164" t="s">
        <v>26</v>
      </c>
      <c r="G99" s="172" t="s">
        <v>727</v>
      </c>
      <c r="H99" s="164" t="s">
        <v>557</v>
      </c>
      <c r="I99" s="103">
        <v>199438.8</v>
      </c>
    </row>
    <row r="100" spans="1:9" ht="73.5" customHeight="1" thickBot="1">
      <c r="A100" s="167"/>
      <c r="B100" s="169"/>
      <c r="C100" s="171"/>
      <c r="D100" s="165"/>
      <c r="E100" s="148" t="s">
        <v>729</v>
      </c>
      <c r="F100" s="165"/>
      <c r="G100" s="173"/>
      <c r="H100" s="165"/>
      <c r="I100" s="163" t="s">
        <v>632</v>
      </c>
    </row>
    <row r="101" spans="1:9" ht="28.5" customHeight="1" thickBot="1">
      <c r="A101" s="194" t="s">
        <v>117</v>
      </c>
      <c r="B101" s="195"/>
      <c r="C101" s="195"/>
      <c r="D101" s="196"/>
      <c r="E101" s="149">
        <f>E14+E16+E18+E20+E22+E24+E26+E28+E30+E32+E34+E36+E38+E40+E42+E44+E46+E48+E50+E52+E54+E56+E58+E60+E62+E64+E66+E68+E70+E73+E75+E77+E79+E81+E85+E87+E89+E91+E83+E93+E95+E97+E99</f>
        <v>61271842.31</v>
      </c>
      <c r="F101" s="150" t="s">
        <v>13</v>
      </c>
      <c r="G101" s="150" t="s">
        <v>13</v>
      </c>
      <c r="H101" s="150" t="s">
        <v>13</v>
      </c>
      <c r="I101" s="150" t="s">
        <v>13</v>
      </c>
    </row>
    <row r="102" spans="1:9" ht="18.75" customHeight="1">
      <c r="A102" s="193" t="s">
        <v>753</v>
      </c>
      <c r="B102" s="193"/>
      <c r="C102" s="193"/>
      <c r="D102" s="193"/>
      <c r="E102" s="193"/>
      <c r="F102" s="193"/>
      <c r="G102" s="193"/>
      <c r="H102" s="193"/>
      <c r="I102" s="193"/>
    </row>
    <row r="103" spans="2:9" ht="12.75">
      <c r="B103" s="7"/>
      <c r="C103" s="7"/>
      <c r="D103" s="7"/>
      <c r="E103" s="7"/>
      <c r="F103" s="7"/>
      <c r="G103" s="5"/>
      <c r="H103" s="5"/>
      <c r="I103" s="5"/>
    </row>
    <row r="104" spans="2:9" ht="15.75" customHeight="1">
      <c r="B104" s="192" t="s">
        <v>62</v>
      </c>
      <c r="C104" s="192"/>
      <c r="D104" s="192"/>
      <c r="E104" s="192"/>
      <c r="F104" s="192"/>
      <c r="G104" s="192"/>
      <c r="H104" s="192"/>
      <c r="I104" s="192"/>
    </row>
    <row r="105" spans="2:9" ht="15">
      <c r="B105" s="192"/>
      <c r="C105" s="192"/>
      <c r="D105" s="192"/>
      <c r="E105" s="192"/>
      <c r="F105" s="192"/>
      <c r="G105" s="192"/>
      <c r="H105" s="192"/>
      <c r="I105" s="192"/>
    </row>
    <row r="106" spans="2:9" ht="15.75" customHeight="1">
      <c r="B106" s="192" t="s">
        <v>63</v>
      </c>
      <c r="C106" s="192"/>
      <c r="D106" s="192"/>
      <c r="E106" s="192"/>
      <c r="F106" s="192"/>
      <c r="G106" s="192"/>
      <c r="H106" s="192"/>
      <c r="I106" s="192"/>
    </row>
    <row r="107" spans="2:8" ht="15">
      <c r="B107" s="2" t="s">
        <v>64</v>
      </c>
      <c r="C107" s="2"/>
      <c r="D107" s="3"/>
      <c r="E107" s="3"/>
      <c r="F107" s="4"/>
      <c r="G107" s="4"/>
      <c r="H107" s="4"/>
    </row>
    <row r="108" spans="2:6" ht="12.75">
      <c r="B108" s="191"/>
      <c r="C108" s="191"/>
      <c r="D108" s="191"/>
      <c r="E108" s="191"/>
      <c r="F108" s="191"/>
    </row>
    <row r="112" ht="12.75">
      <c r="E112" s="136"/>
    </row>
    <row r="113" ht="12.75">
      <c r="E113" s="136"/>
    </row>
  </sheetData>
  <sheetProtection/>
  <mergeCells count="325">
    <mergeCell ref="H97:H98"/>
    <mergeCell ref="A97:A98"/>
    <mergeCell ref="B97:B98"/>
    <mergeCell ref="C97:C98"/>
    <mergeCell ref="D97:D98"/>
    <mergeCell ref="F97:F98"/>
    <mergeCell ref="G97:G98"/>
    <mergeCell ref="B108:F108"/>
    <mergeCell ref="B106:I106"/>
    <mergeCell ref="B105:I105"/>
    <mergeCell ref="B104:I104"/>
    <mergeCell ref="A102:I102"/>
    <mergeCell ref="A101:D101"/>
    <mergeCell ref="H89:H90"/>
    <mergeCell ref="I89:I90"/>
    <mergeCell ref="A89:A90"/>
    <mergeCell ref="B89:B90"/>
    <mergeCell ref="C89:C90"/>
    <mergeCell ref="D89:D90"/>
    <mergeCell ref="F89:F90"/>
    <mergeCell ref="G89:G90"/>
    <mergeCell ref="A11:I11"/>
    <mergeCell ref="A10:I10"/>
    <mergeCell ref="F30:F31"/>
    <mergeCell ref="G30:G31"/>
    <mergeCell ref="H30:H31"/>
    <mergeCell ref="B73:B74"/>
    <mergeCell ref="C73:C74"/>
    <mergeCell ref="D73:D74"/>
    <mergeCell ref="A73:A74"/>
    <mergeCell ref="A30:A31"/>
    <mergeCell ref="B30:B31"/>
    <mergeCell ref="C30:C31"/>
    <mergeCell ref="D30:D31"/>
    <mergeCell ref="A34:A35"/>
    <mergeCell ref="B34:B35"/>
    <mergeCell ref="H28:H29"/>
    <mergeCell ref="A28:A29"/>
    <mergeCell ref="B28:B29"/>
    <mergeCell ref="C28:C29"/>
    <mergeCell ref="D28:D29"/>
    <mergeCell ref="B70:B72"/>
    <mergeCell ref="A70:A72"/>
    <mergeCell ref="C70:C72"/>
    <mergeCell ref="D70:D72"/>
    <mergeCell ref="F70:F72"/>
    <mergeCell ref="G70:G72"/>
    <mergeCell ref="F28:F29"/>
    <mergeCell ref="G28:G29"/>
    <mergeCell ref="H73:H74"/>
    <mergeCell ref="I73:I74"/>
    <mergeCell ref="B64:B65"/>
    <mergeCell ref="I70:I72"/>
    <mergeCell ref="I64:I65"/>
    <mergeCell ref="D66:D67"/>
    <mergeCell ref="F66:F67"/>
    <mergeCell ref="H32:H33"/>
    <mergeCell ref="A64:A65"/>
    <mergeCell ref="C64:C65"/>
    <mergeCell ref="D64:D65"/>
    <mergeCell ref="F64:F65"/>
    <mergeCell ref="G64:G65"/>
    <mergeCell ref="H70:H72"/>
    <mergeCell ref="H64:H65"/>
    <mergeCell ref="A66:A67"/>
    <mergeCell ref="B66:B67"/>
    <mergeCell ref="C66:C67"/>
    <mergeCell ref="A68:A69"/>
    <mergeCell ref="B68:B69"/>
    <mergeCell ref="C68:C69"/>
    <mergeCell ref="D68:D69"/>
    <mergeCell ref="F68:F69"/>
    <mergeCell ref="G68:G69"/>
    <mergeCell ref="H14:H15"/>
    <mergeCell ref="A75:A76"/>
    <mergeCell ref="B75:B76"/>
    <mergeCell ref="C75:C76"/>
    <mergeCell ref="D75:D76"/>
    <mergeCell ref="F75:F76"/>
    <mergeCell ref="G75:G76"/>
    <mergeCell ref="H68:H69"/>
    <mergeCell ref="F73:F74"/>
    <mergeCell ref="G73:G74"/>
    <mergeCell ref="A14:A15"/>
    <mergeCell ref="B14:B15"/>
    <mergeCell ref="C14:C15"/>
    <mergeCell ref="D14:D15"/>
    <mergeCell ref="F14:F15"/>
    <mergeCell ref="G14:G15"/>
    <mergeCell ref="C16:C17"/>
    <mergeCell ref="D16:D17"/>
    <mergeCell ref="F16:F17"/>
    <mergeCell ref="G16:G17"/>
    <mergeCell ref="H75:H76"/>
    <mergeCell ref="I75:I76"/>
    <mergeCell ref="I66:I67"/>
    <mergeCell ref="I68:I69"/>
    <mergeCell ref="G66:G67"/>
    <mergeCell ref="H66:H67"/>
    <mergeCell ref="H16:H17"/>
    <mergeCell ref="A18:A19"/>
    <mergeCell ref="B18:B19"/>
    <mergeCell ref="C18:C19"/>
    <mergeCell ref="D18:D19"/>
    <mergeCell ref="F18:F19"/>
    <mergeCell ref="G18:G19"/>
    <mergeCell ref="H18:H19"/>
    <mergeCell ref="A16:A17"/>
    <mergeCell ref="B16:B17"/>
    <mergeCell ref="A20:A21"/>
    <mergeCell ref="B20:B21"/>
    <mergeCell ref="C20:C21"/>
    <mergeCell ref="D20:D21"/>
    <mergeCell ref="F20:F21"/>
    <mergeCell ref="G20:G21"/>
    <mergeCell ref="A22:A23"/>
    <mergeCell ref="B22:B23"/>
    <mergeCell ref="C22:C23"/>
    <mergeCell ref="D22:D23"/>
    <mergeCell ref="F22:F23"/>
    <mergeCell ref="G22:G23"/>
    <mergeCell ref="C24:C25"/>
    <mergeCell ref="D24:D25"/>
    <mergeCell ref="F24:F25"/>
    <mergeCell ref="G24:G25"/>
    <mergeCell ref="H20:H21"/>
    <mergeCell ref="H22:H23"/>
    <mergeCell ref="H24:H25"/>
    <mergeCell ref="B26:B27"/>
    <mergeCell ref="A26:A27"/>
    <mergeCell ref="C26:C27"/>
    <mergeCell ref="D26:D27"/>
    <mergeCell ref="F26:F27"/>
    <mergeCell ref="G26:G27"/>
    <mergeCell ref="H26:H27"/>
    <mergeCell ref="A24:A25"/>
    <mergeCell ref="B24:B25"/>
    <mergeCell ref="I34:I35"/>
    <mergeCell ref="A32:A33"/>
    <mergeCell ref="B32:B33"/>
    <mergeCell ref="C32:C33"/>
    <mergeCell ref="D32:D33"/>
    <mergeCell ref="F32:F33"/>
    <mergeCell ref="G32:G33"/>
    <mergeCell ref="F36:F37"/>
    <mergeCell ref="G36:G37"/>
    <mergeCell ref="H36:H37"/>
    <mergeCell ref="B36:B37"/>
    <mergeCell ref="C34:C35"/>
    <mergeCell ref="D34:D35"/>
    <mergeCell ref="F34:F35"/>
    <mergeCell ref="G34:G35"/>
    <mergeCell ref="H34:H35"/>
    <mergeCell ref="A40:A41"/>
    <mergeCell ref="B40:B41"/>
    <mergeCell ref="A42:A43"/>
    <mergeCell ref="A36:A37"/>
    <mergeCell ref="C36:C37"/>
    <mergeCell ref="D36:D37"/>
    <mergeCell ref="A38:A39"/>
    <mergeCell ref="B38:B39"/>
    <mergeCell ref="C38:C39"/>
    <mergeCell ref="D38:D39"/>
    <mergeCell ref="F38:F39"/>
    <mergeCell ref="G38:G39"/>
    <mergeCell ref="H38:H39"/>
    <mergeCell ref="B42:B43"/>
    <mergeCell ref="H40:H41"/>
    <mergeCell ref="C40:C41"/>
    <mergeCell ref="C42:C43"/>
    <mergeCell ref="G42:G43"/>
    <mergeCell ref="H42:H43"/>
    <mergeCell ref="D40:D41"/>
    <mergeCell ref="F40:F41"/>
    <mergeCell ref="G40:G41"/>
    <mergeCell ref="D42:D43"/>
    <mergeCell ref="F42:F43"/>
    <mergeCell ref="A44:A45"/>
    <mergeCell ref="C44:C45"/>
    <mergeCell ref="D44:D45"/>
    <mergeCell ref="F44:F45"/>
    <mergeCell ref="G44:G45"/>
    <mergeCell ref="B44:B45"/>
    <mergeCell ref="A48:A49"/>
    <mergeCell ref="G48:G49"/>
    <mergeCell ref="H44:H45"/>
    <mergeCell ref="A46:A47"/>
    <mergeCell ref="B46:B47"/>
    <mergeCell ref="C46:C47"/>
    <mergeCell ref="D46:D47"/>
    <mergeCell ref="F46:F47"/>
    <mergeCell ref="G46:G47"/>
    <mergeCell ref="H46:H47"/>
    <mergeCell ref="A50:A51"/>
    <mergeCell ref="B50:B51"/>
    <mergeCell ref="C50:C51"/>
    <mergeCell ref="D50:D51"/>
    <mergeCell ref="F50:F51"/>
    <mergeCell ref="G50:G51"/>
    <mergeCell ref="C52:C53"/>
    <mergeCell ref="D52:D53"/>
    <mergeCell ref="F52:F53"/>
    <mergeCell ref="G52:G53"/>
    <mergeCell ref="H48:H49"/>
    <mergeCell ref="B48:B49"/>
    <mergeCell ref="C48:C49"/>
    <mergeCell ref="D48:D49"/>
    <mergeCell ref="F48:F49"/>
    <mergeCell ref="H50:H51"/>
    <mergeCell ref="H56:H57"/>
    <mergeCell ref="H52:H53"/>
    <mergeCell ref="A54:A55"/>
    <mergeCell ref="B54:B55"/>
    <mergeCell ref="C54:C55"/>
    <mergeCell ref="D54:D55"/>
    <mergeCell ref="F54:F55"/>
    <mergeCell ref="G54:G55"/>
    <mergeCell ref="A52:A53"/>
    <mergeCell ref="B52:B53"/>
    <mergeCell ref="H60:H61"/>
    <mergeCell ref="A58:A59"/>
    <mergeCell ref="G58:G59"/>
    <mergeCell ref="H54:H55"/>
    <mergeCell ref="A56:A57"/>
    <mergeCell ref="B56:B57"/>
    <mergeCell ref="C56:C57"/>
    <mergeCell ref="D56:D57"/>
    <mergeCell ref="F56:F57"/>
    <mergeCell ref="G56:G57"/>
    <mergeCell ref="A60:A61"/>
    <mergeCell ref="B60:B61"/>
    <mergeCell ref="C60:C61"/>
    <mergeCell ref="D60:D61"/>
    <mergeCell ref="F60:F61"/>
    <mergeCell ref="G60:G61"/>
    <mergeCell ref="B62:B63"/>
    <mergeCell ref="C62:C63"/>
    <mergeCell ref="D62:D63"/>
    <mergeCell ref="F62:F63"/>
    <mergeCell ref="G62:G63"/>
    <mergeCell ref="H58:H59"/>
    <mergeCell ref="B58:B59"/>
    <mergeCell ref="C58:C59"/>
    <mergeCell ref="D58:D59"/>
    <mergeCell ref="F58:F59"/>
    <mergeCell ref="H62:H63"/>
    <mergeCell ref="I62:I63"/>
    <mergeCell ref="I79:I80"/>
    <mergeCell ref="A77:A78"/>
    <mergeCell ref="B77:B78"/>
    <mergeCell ref="C77:C78"/>
    <mergeCell ref="D77:D78"/>
    <mergeCell ref="F77:F78"/>
    <mergeCell ref="G77:G78"/>
    <mergeCell ref="A62:A63"/>
    <mergeCell ref="H83:H84"/>
    <mergeCell ref="H81:H82"/>
    <mergeCell ref="I81:I82"/>
    <mergeCell ref="A81:A82"/>
    <mergeCell ref="F79:F80"/>
    <mergeCell ref="G79:G80"/>
    <mergeCell ref="H79:H80"/>
    <mergeCell ref="I83:I84"/>
    <mergeCell ref="H77:H78"/>
    <mergeCell ref="I77:I78"/>
    <mergeCell ref="A79:A80"/>
    <mergeCell ref="B79:B80"/>
    <mergeCell ref="C79:C80"/>
    <mergeCell ref="D79:D80"/>
    <mergeCell ref="B81:B82"/>
    <mergeCell ref="C81:C82"/>
    <mergeCell ref="D81:D82"/>
    <mergeCell ref="F81:F82"/>
    <mergeCell ref="G81:G82"/>
    <mergeCell ref="D85:D86"/>
    <mergeCell ref="F85:F86"/>
    <mergeCell ref="A83:A84"/>
    <mergeCell ref="B83:B84"/>
    <mergeCell ref="C83:C84"/>
    <mergeCell ref="D83:D84"/>
    <mergeCell ref="F83:F84"/>
    <mergeCell ref="G83:G84"/>
    <mergeCell ref="A87:A88"/>
    <mergeCell ref="D87:D88"/>
    <mergeCell ref="C87:C88"/>
    <mergeCell ref="F87:F88"/>
    <mergeCell ref="G87:G88"/>
    <mergeCell ref="H85:H86"/>
    <mergeCell ref="B85:B86"/>
    <mergeCell ref="G85:G86"/>
    <mergeCell ref="C85:C86"/>
    <mergeCell ref="A85:A86"/>
    <mergeCell ref="A91:A92"/>
    <mergeCell ref="B91:B92"/>
    <mergeCell ref="C91:C92"/>
    <mergeCell ref="D91:D92"/>
    <mergeCell ref="F91:F92"/>
    <mergeCell ref="G91:G92"/>
    <mergeCell ref="B95:B96"/>
    <mergeCell ref="C93:C94"/>
    <mergeCell ref="C95:C96"/>
    <mergeCell ref="D93:D94"/>
    <mergeCell ref="D95:D96"/>
    <mergeCell ref="I85:I86"/>
    <mergeCell ref="H91:H92"/>
    <mergeCell ref="H87:H88"/>
    <mergeCell ref="I87:I88"/>
    <mergeCell ref="B87:B88"/>
    <mergeCell ref="H93:H94"/>
    <mergeCell ref="H95:H96"/>
    <mergeCell ref="I93:I94"/>
    <mergeCell ref="A95:A96"/>
    <mergeCell ref="F93:F94"/>
    <mergeCell ref="F95:F96"/>
    <mergeCell ref="G93:G94"/>
    <mergeCell ref="G95:G96"/>
    <mergeCell ref="B93:B94"/>
    <mergeCell ref="A93:A94"/>
    <mergeCell ref="H99:H100"/>
    <mergeCell ref="A99:A100"/>
    <mergeCell ref="B99:B100"/>
    <mergeCell ref="C99:C100"/>
    <mergeCell ref="D99:D100"/>
    <mergeCell ref="F99:F100"/>
    <mergeCell ref="G99:G100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32"/>
  <sheetViews>
    <sheetView workbookViewId="0" topLeftCell="A1">
      <selection activeCell="A417" sqref="A417"/>
    </sheetView>
  </sheetViews>
  <sheetFormatPr defaultColWidth="9.00390625" defaultRowHeight="12.75"/>
  <cols>
    <col min="1" max="1" width="28.75390625" style="0" customWidth="1"/>
    <col min="2" max="2" width="8.25390625" style="0" customWidth="1"/>
    <col min="3" max="3" width="15.125" style="0" customWidth="1"/>
    <col min="4" max="4" width="13.125" style="0" customWidth="1"/>
    <col min="5" max="5" width="10.125" style="0" customWidth="1"/>
    <col min="6" max="6" width="7.375" style="0" customWidth="1"/>
    <col min="7" max="7" width="12.125" style="0" customWidth="1"/>
  </cols>
  <sheetData>
    <row r="1" spans="1:6" ht="18.75">
      <c r="A1" s="197" t="s">
        <v>573</v>
      </c>
      <c r="B1" s="197"/>
      <c r="C1" s="197"/>
      <c r="D1" s="197"/>
      <c r="E1" s="197"/>
      <c r="F1" s="197"/>
    </row>
    <row r="2" spans="1:6" ht="18.75">
      <c r="A2" s="197" t="s">
        <v>121</v>
      </c>
      <c r="B2" s="197"/>
      <c r="C2" s="197"/>
      <c r="D2" s="197"/>
      <c r="E2" s="197"/>
      <c r="F2" s="197"/>
    </row>
    <row r="3" spans="1:6" ht="18.75">
      <c r="A3" s="197" t="s">
        <v>161</v>
      </c>
      <c r="B3" s="197"/>
      <c r="C3" s="197"/>
      <c r="D3" s="197"/>
      <c r="E3" s="197"/>
      <c r="F3" s="197"/>
    </row>
    <row r="4" spans="1:6" ht="18.75">
      <c r="A4" s="28" t="s">
        <v>122</v>
      </c>
      <c r="B4" s="28"/>
      <c r="C4" s="28"/>
      <c r="D4" s="28"/>
      <c r="E4" s="28"/>
      <c r="F4" s="28"/>
    </row>
    <row r="5" spans="1:7" ht="105.75" customHeight="1">
      <c r="A5" s="22" t="s">
        <v>123</v>
      </c>
      <c r="B5" s="22" t="s">
        <v>124</v>
      </c>
      <c r="C5" s="22" t="s">
        <v>0</v>
      </c>
      <c r="D5" s="22" t="s">
        <v>125</v>
      </c>
      <c r="E5" s="22" t="s">
        <v>126</v>
      </c>
      <c r="F5" s="22" t="s">
        <v>129</v>
      </c>
      <c r="G5" s="23" t="s">
        <v>128</v>
      </c>
    </row>
    <row r="6" spans="1:7" ht="128.25" customHeight="1">
      <c r="A6" s="39" t="s">
        <v>130</v>
      </c>
      <c r="B6" s="40" t="s">
        <v>159</v>
      </c>
      <c r="C6" s="41" t="s">
        <v>127</v>
      </c>
      <c r="D6" s="40" t="s">
        <v>138</v>
      </c>
      <c r="E6" s="42">
        <v>105</v>
      </c>
      <c r="F6" s="40">
        <v>2230</v>
      </c>
      <c r="G6" s="40" t="s">
        <v>162</v>
      </c>
    </row>
    <row r="7" spans="1:7" ht="123" customHeight="1">
      <c r="A7" s="39" t="s">
        <v>131</v>
      </c>
      <c r="B7" s="40" t="s">
        <v>159</v>
      </c>
      <c r="C7" s="41" t="s">
        <v>127</v>
      </c>
      <c r="D7" s="40" t="s">
        <v>138</v>
      </c>
      <c r="E7" s="43">
        <v>116.8</v>
      </c>
      <c r="F7" s="40">
        <v>2230</v>
      </c>
      <c r="G7" s="40" t="s">
        <v>152</v>
      </c>
    </row>
    <row r="8" spans="1:7" ht="100.5" customHeight="1">
      <c r="A8" s="39" t="s">
        <v>132</v>
      </c>
      <c r="B8" s="40" t="s">
        <v>159</v>
      </c>
      <c r="C8" s="41" t="s">
        <v>127</v>
      </c>
      <c r="D8" s="40" t="s">
        <v>138</v>
      </c>
      <c r="E8" s="43">
        <v>332.3</v>
      </c>
      <c r="F8" s="40">
        <v>2230</v>
      </c>
      <c r="G8" s="40" t="s">
        <v>153</v>
      </c>
    </row>
    <row r="9" spans="1:7" ht="114.75" customHeight="1">
      <c r="A9" s="44" t="s">
        <v>133</v>
      </c>
      <c r="B9" s="40" t="s">
        <v>159</v>
      </c>
      <c r="C9" s="41" t="s">
        <v>127</v>
      </c>
      <c r="D9" s="40" t="s">
        <v>138</v>
      </c>
      <c r="E9" s="43">
        <v>90</v>
      </c>
      <c r="F9" s="40">
        <v>2230</v>
      </c>
      <c r="G9" s="40" t="s">
        <v>154</v>
      </c>
    </row>
    <row r="10" spans="1:7" ht="107.25" customHeight="1">
      <c r="A10" s="39" t="s">
        <v>134</v>
      </c>
      <c r="B10" s="40" t="s">
        <v>159</v>
      </c>
      <c r="C10" s="41" t="s">
        <v>127</v>
      </c>
      <c r="D10" s="40" t="s">
        <v>138</v>
      </c>
      <c r="E10" s="43">
        <v>66.6</v>
      </c>
      <c r="F10" s="40">
        <v>2230</v>
      </c>
      <c r="G10" s="40" t="s">
        <v>155</v>
      </c>
    </row>
    <row r="11" spans="1:7" ht="117.75" customHeight="1">
      <c r="A11" s="39" t="s">
        <v>183</v>
      </c>
      <c r="B11" s="40" t="s">
        <v>159</v>
      </c>
      <c r="C11" s="41" t="s">
        <v>127</v>
      </c>
      <c r="D11" s="40" t="s">
        <v>138</v>
      </c>
      <c r="E11" s="43">
        <v>24.3</v>
      </c>
      <c r="F11" s="40">
        <v>2230</v>
      </c>
      <c r="G11" s="40" t="s">
        <v>184</v>
      </c>
    </row>
    <row r="12" spans="1:7" ht="108.75" customHeight="1">
      <c r="A12" s="39" t="s">
        <v>185</v>
      </c>
      <c r="B12" s="40" t="s">
        <v>159</v>
      </c>
      <c r="C12" s="41" t="s">
        <v>127</v>
      </c>
      <c r="D12" s="40" t="s">
        <v>138</v>
      </c>
      <c r="E12" s="43">
        <v>73</v>
      </c>
      <c r="F12" s="40">
        <v>2230</v>
      </c>
      <c r="G12" s="40" t="s">
        <v>186</v>
      </c>
    </row>
    <row r="13" spans="1:7" ht="100.5" customHeight="1">
      <c r="A13" s="39" t="s">
        <v>187</v>
      </c>
      <c r="B13" s="40" t="s">
        <v>159</v>
      </c>
      <c r="C13" s="41" t="s">
        <v>127</v>
      </c>
      <c r="D13" s="40" t="s">
        <v>138</v>
      </c>
      <c r="E13" s="43">
        <v>46.2</v>
      </c>
      <c r="F13" s="40">
        <v>2230</v>
      </c>
      <c r="G13" s="40" t="s">
        <v>188</v>
      </c>
    </row>
    <row r="14" spans="1:7" ht="132.75" customHeight="1">
      <c r="A14" s="45" t="s">
        <v>135</v>
      </c>
      <c r="B14" s="40" t="s">
        <v>159</v>
      </c>
      <c r="C14" s="41" t="s">
        <v>127</v>
      </c>
      <c r="D14" s="40" t="s">
        <v>138</v>
      </c>
      <c r="E14" s="43">
        <v>27.9</v>
      </c>
      <c r="F14" s="40">
        <v>2240</v>
      </c>
      <c r="G14" s="40" t="s">
        <v>156</v>
      </c>
    </row>
    <row r="15" spans="1:7" ht="141.75" customHeight="1">
      <c r="A15" s="45" t="s">
        <v>136</v>
      </c>
      <c r="B15" s="40" t="s">
        <v>159</v>
      </c>
      <c r="C15" s="41" t="s">
        <v>127</v>
      </c>
      <c r="D15" s="40" t="s">
        <v>138</v>
      </c>
      <c r="E15" s="43">
        <v>73.8</v>
      </c>
      <c r="F15" s="40">
        <v>2240</v>
      </c>
      <c r="G15" s="40" t="s">
        <v>158</v>
      </c>
    </row>
    <row r="16" spans="1:7" ht="106.5" customHeight="1">
      <c r="A16" s="46" t="s">
        <v>137</v>
      </c>
      <c r="B16" s="40" t="s">
        <v>159</v>
      </c>
      <c r="C16" s="41" t="s">
        <v>127</v>
      </c>
      <c r="D16" s="40" t="s">
        <v>138</v>
      </c>
      <c r="E16" s="43">
        <v>33.5</v>
      </c>
      <c r="F16" s="40">
        <v>2240</v>
      </c>
      <c r="G16" s="40" t="s">
        <v>157</v>
      </c>
    </row>
    <row r="17" spans="1:7" ht="152.25" customHeight="1">
      <c r="A17" s="39" t="s">
        <v>140</v>
      </c>
      <c r="B17" s="41" t="s">
        <v>160</v>
      </c>
      <c r="C17" s="41" t="s">
        <v>127</v>
      </c>
      <c r="D17" s="40" t="s">
        <v>138</v>
      </c>
      <c r="E17" s="43">
        <v>40</v>
      </c>
      <c r="F17" s="40">
        <v>2271</v>
      </c>
      <c r="G17" s="40" t="s">
        <v>148</v>
      </c>
    </row>
    <row r="18" spans="1:7" ht="118.5" customHeight="1">
      <c r="A18" s="39" t="s">
        <v>139</v>
      </c>
      <c r="B18" s="41" t="s">
        <v>160</v>
      </c>
      <c r="C18" s="41" t="s">
        <v>127</v>
      </c>
      <c r="D18" s="40" t="s">
        <v>138</v>
      </c>
      <c r="E18" s="43">
        <v>5062</v>
      </c>
      <c r="F18" s="40">
        <v>2271</v>
      </c>
      <c r="G18" s="40" t="s">
        <v>147</v>
      </c>
    </row>
    <row r="19" spans="1:7" ht="123" customHeight="1">
      <c r="A19" s="39" t="s">
        <v>139</v>
      </c>
      <c r="B19" s="41" t="s">
        <v>160</v>
      </c>
      <c r="C19" s="41" t="s">
        <v>127</v>
      </c>
      <c r="D19" s="40" t="s">
        <v>138</v>
      </c>
      <c r="E19" s="43">
        <v>1513.1</v>
      </c>
      <c r="F19" s="40">
        <v>2271</v>
      </c>
      <c r="G19" s="40" t="s">
        <v>146</v>
      </c>
    </row>
    <row r="20" spans="1:7" ht="123" customHeight="1">
      <c r="A20" s="39" t="s">
        <v>139</v>
      </c>
      <c r="B20" s="41" t="s">
        <v>160</v>
      </c>
      <c r="C20" s="41" t="s">
        <v>127</v>
      </c>
      <c r="D20" s="40" t="s">
        <v>138</v>
      </c>
      <c r="E20" s="43">
        <v>1.1</v>
      </c>
      <c r="F20" s="40">
        <v>2271</v>
      </c>
      <c r="G20" s="40" t="s">
        <v>189</v>
      </c>
    </row>
    <row r="21" spans="1:7" ht="120" customHeight="1">
      <c r="A21" s="39" t="s">
        <v>141</v>
      </c>
      <c r="B21" s="41" t="s">
        <v>160</v>
      </c>
      <c r="C21" s="41" t="s">
        <v>127</v>
      </c>
      <c r="D21" s="40" t="s">
        <v>138</v>
      </c>
      <c r="E21" s="43">
        <v>498</v>
      </c>
      <c r="F21" s="40">
        <v>2273</v>
      </c>
      <c r="G21" s="40" t="s">
        <v>149</v>
      </c>
    </row>
    <row r="22" spans="1:7" ht="117" customHeight="1">
      <c r="A22" s="39" t="s">
        <v>142</v>
      </c>
      <c r="B22" s="41" t="s">
        <v>160</v>
      </c>
      <c r="C22" s="41" t="s">
        <v>127</v>
      </c>
      <c r="D22" s="40" t="s">
        <v>138</v>
      </c>
      <c r="E22" s="43">
        <v>37.9</v>
      </c>
      <c r="F22" s="40">
        <v>2240</v>
      </c>
      <c r="G22" s="40" t="s">
        <v>150</v>
      </c>
    </row>
    <row r="23" spans="1:7" ht="94.5" customHeight="1">
      <c r="A23" s="45" t="s">
        <v>143</v>
      </c>
      <c r="B23" s="41" t="s">
        <v>160</v>
      </c>
      <c r="C23" s="41" t="s">
        <v>127</v>
      </c>
      <c r="D23" s="40" t="s">
        <v>138</v>
      </c>
      <c r="E23" s="43">
        <v>88</v>
      </c>
      <c r="F23" s="40">
        <v>2274</v>
      </c>
      <c r="G23" s="40" t="s">
        <v>144</v>
      </c>
    </row>
    <row r="24" spans="1:7" ht="126.75" customHeight="1">
      <c r="A24" s="45" t="s">
        <v>145</v>
      </c>
      <c r="B24" s="41" t="s">
        <v>160</v>
      </c>
      <c r="C24" s="41" t="s">
        <v>127</v>
      </c>
      <c r="D24" s="40" t="s">
        <v>138</v>
      </c>
      <c r="E24" s="43">
        <v>424.4</v>
      </c>
      <c r="F24" s="40">
        <v>2272</v>
      </c>
      <c r="G24" s="40" t="s">
        <v>151</v>
      </c>
    </row>
    <row r="25" spans="1:7" ht="27.75" customHeight="1">
      <c r="A25" s="24" t="s">
        <v>273</v>
      </c>
      <c r="B25" s="62" t="s">
        <v>159</v>
      </c>
      <c r="C25" s="62" t="s">
        <v>127</v>
      </c>
      <c r="D25" s="79" t="s">
        <v>116</v>
      </c>
      <c r="E25" s="63">
        <v>18.2</v>
      </c>
      <c r="F25" s="54">
        <v>2210</v>
      </c>
      <c r="G25" s="54"/>
    </row>
    <row r="26" spans="1:7" ht="29.25" customHeight="1">
      <c r="A26" s="24" t="s">
        <v>274</v>
      </c>
      <c r="B26" s="62" t="s">
        <v>159</v>
      </c>
      <c r="C26" s="62" t="s">
        <v>127</v>
      </c>
      <c r="D26" s="79" t="s">
        <v>116</v>
      </c>
      <c r="E26" s="63">
        <v>0.5</v>
      </c>
      <c r="F26" s="54">
        <v>2210</v>
      </c>
      <c r="G26" s="54"/>
    </row>
    <row r="27" spans="1:7" ht="18" customHeight="1">
      <c r="A27" s="24" t="s">
        <v>277</v>
      </c>
      <c r="B27" s="62" t="s">
        <v>159</v>
      </c>
      <c r="C27" s="62" t="s">
        <v>127</v>
      </c>
      <c r="D27" s="79" t="s">
        <v>116</v>
      </c>
      <c r="E27" s="63">
        <f>20+2.9</f>
        <v>22.9</v>
      </c>
      <c r="F27" s="54">
        <v>2210</v>
      </c>
      <c r="G27" s="54"/>
    </row>
    <row r="28" spans="1:7" ht="16.5" customHeight="1">
      <c r="A28" s="24" t="s">
        <v>275</v>
      </c>
      <c r="B28" s="62" t="s">
        <v>159</v>
      </c>
      <c r="C28" s="62" t="s">
        <v>127</v>
      </c>
      <c r="D28" s="79" t="s">
        <v>116</v>
      </c>
      <c r="E28" s="63">
        <f>41.7-0.5-1.3-0.3-0.8-0.4</f>
        <v>38.40000000000001</v>
      </c>
      <c r="F28" s="54">
        <v>2210</v>
      </c>
      <c r="G28" s="54"/>
    </row>
    <row r="29" spans="1:7" ht="16.5" customHeight="1">
      <c r="A29" s="24" t="s">
        <v>276</v>
      </c>
      <c r="B29" s="62" t="s">
        <v>159</v>
      </c>
      <c r="C29" s="62" t="s">
        <v>127</v>
      </c>
      <c r="D29" s="79" t="s">
        <v>116</v>
      </c>
      <c r="E29" s="63">
        <f>15.8-0.2-1-2.3-0.1</f>
        <v>12.200000000000001</v>
      </c>
      <c r="F29" s="54">
        <v>2210</v>
      </c>
      <c r="G29" s="54"/>
    </row>
    <row r="30" spans="1:7" ht="16.5" customHeight="1">
      <c r="A30" s="24" t="s">
        <v>278</v>
      </c>
      <c r="B30" s="62" t="s">
        <v>159</v>
      </c>
      <c r="C30" s="62" t="s">
        <v>127</v>
      </c>
      <c r="D30" s="79" t="s">
        <v>116</v>
      </c>
      <c r="E30" s="63">
        <f>4.5+0.6-1.5+1+0.5</f>
        <v>5.1</v>
      </c>
      <c r="F30" s="54">
        <v>2210</v>
      </c>
      <c r="G30" s="54"/>
    </row>
    <row r="31" spans="1:7" ht="16.5" customHeight="1">
      <c r="A31" s="24" t="s">
        <v>279</v>
      </c>
      <c r="B31" s="62" t="s">
        <v>159</v>
      </c>
      <c r="C31" s="62" t="s">
        <v>127</v>
      </c>
      <c r="D31" s="79" t="s">
        <v>116</v>
      </c>
      <c r="E31" s="63">
        <f>0.7-0.4-0.2</f>
        <v>0.09999999999999992</v>
      </c>
      <c r="F31" s="54">
        <v>2210</v>
      </c>
      <c r="G31" s="54"/>
    </row>
    <row r="32" spans="1:7" ht="16.5" customHeight="1">
      <c r="A32" s="24" t="s">
        <v>280</v>
      </c>
      <c r="B32" s="62" t="s">
        <v>159</v>
      </c>
      <c r="C32" s="62" t="s">
        <v>127</v>
      </c>
      <c r="D32" s="79" t="s">
        <v>116</v>
      </c>
      <c r="E32" s="63">
        <f>17.7-17.7</f>
        <v>0</v>
      </c>
      <c r="F32" s="54">
        <v>2210</v>
      </c>
      <c r="G32" s="54"/>
    </row>
    <row r="33" spans="1:7" ht="16.5" customHeight="1">
      <c r="A33" s="24" t="s">
        <v>281</v>
      </c>
      <c r="B33" s="62" t="s">
        <v>159</v>
      </c>
      <c r="C33" s="62" t="s">
        <v>127</v>
      </c>
      <c r="D33" s="79" t="s">
        <v>116</v>
      </c>
      <c r="E33" s="63">
        <f>32.3-0.2-0.7+2.6-1.4</f>
        <v>32.599999999999994</v>
      </c>
      <c r="F33" s="54">
        <v>2210</v>
      </c>
      <c r="G33" s="54"/>
    </row>
    <row r="34" spans="1:7" ht="16.5" customHeight="1">
      <c r="A34" s="24" t="s">
        <v>282</v>
      </c>
      <c r="B34" s="62" t="s">
        <v>159</v>
      </c>
      <c r="C34" s="62" t="s">
        <v>127</v>
      </c>
      <c r="D34" s="79" t="s">
        <v>116</v>
      </c>
      <c r="E34" s="63">
        <f>9.6+1.5+0.1</f>
        <v>11.2</v>
      </c>
      <c r="F34" s="54">
        <v>2210</v>
      </c>
      <c r="G34" s="54"/>
    </row>
    <row r="35" spans="1:7" ht="16.5" customHeight="1">
      <c r="A35" s="24" t="s">
        <v>283</v>
      </c>
      <c r="B35" s="62" t="s">
        <v>159</v>
      </c>
      <c r="C35" s="62" t="s">
        <v>127</v>
      </c>
      <c r="D35" s="79" t="s">
        <v>116</v>
      </c>
      <c r="E35" s="63">
        <f>7.9-2.1+1.6-0.4</f>
        <v>7</v>
      </c>
      <c r="F35" s="54">
        <v>2210</v>
      </c>
      <c r="G35" s="54"/>
    </row>
    <row r="36" spans="1:7" ht="16.5" customHeight="1">
      <c r="A36" s="24" t="s">
        <v>284</v>
      </c>
      <c r="B36" s="62" t="s">
        <v>159</v>
      </c>
      <c r="C36" s="62" t="s">
        <v>127</v>
      </c>
      <c r="D36" s="79" t="s">
        <v>116</v>
      </c>
      <c r="E36" s="63">
        <v>5.1</v>
      </c>
      <c r="F36" s="54">
        <v>2210</v>
      </c>
      <c r="G36" s="54"/>
    </row>
    <row r="37" spans="1:7" ht="16.5" customHeight="1">
      <c r="A37" s="24" t="s">
        <v>285</v>
      </c>
      <c r="B37" s="62" t="s">
        <v>159</v>
      </c>
      <c r="C37" s="62" t="s">
        <v>127</v>
      </c>
      <c r="D37" s="79" t="s">
        <v>116</v>
      </c>
      <c r="E37" s="63">
        <v>4.5</v>
      </c>
      <c r="F37" s="54">
        <v>2210</v>
      </c>
      <c r="G37" s="54"/>
    </row>
    <row r="38" spans="1:7" ht="24.75" customHeight="1">
      <c r="A38" s="24" t="s">
        <v>286</v>
      </c>
      <c r="B38" s="62" t="s">
        <v>159</v>
      </c>
      <c r="C38" s="62" t="s">
        <v>127</v>
      </c>
      <c r="D38" s="79" t="s">
        <v>116</v>
      </c>
      <c r="E38" s="63">
        <v>2.5</v>
      </c>
      <c r="F38" s="54">
        <v>2210</v>
      </c>
      <c r="G38" s="54"/>
    </row>
    <row r="39" spans="1:7" ht="16.5" customHeight="1">
      <c r="A39" s="24" t="s">
        <v>287</v>
      </c>
      <c r="B39" s="62" t="s">
        <v>159</v>
      </c>
      <c r="C39" s="62" t="s">
        <v>127</v>
      </c>
      <c r="D39" s="79" t="s">
        <v>116</v>
      </c>
      <c r="E39" s="63">
        <f>4.2+0.2-0.9+0.4-0.6+0.8+0.3+3.6+4.4+2+1+0.6+0.6</f>
        <v>16.6</v>
      </c>
      <c r="F39" s="54">
        <v>2210</v>
      </c>
      <c r="G39" s="54"/>
    </row>
    <row r="40" spans="1:7" ht="16.5" customHeight="1">
      <c r="A40" s="24" t="s">
        <v>289</v>
      </c>
      <c r="B40" s="62" t="s">
        <v>159</v>
      </c>
      <c r="C40" s="62" t="s">
        <v>127</v>
      </c>
      <c r="D40" s="79" t="s">
        <v>116</v>
      </c>
      <c r="E40" s="63">
        <f>0.7-0.7</f>
        <v>0</v>
      </c>
      <c r="F40" s="54">
        <v>2210</v>
      </c>
      <c r="G40" s="54"/>
    </row>
    <row r="41" spans="1:7" ht="16.5" customHeight="1">
      <c r="A41" s="24" t="s">
        <v>290</v>
      </c>
      <c r="B41" s="62" t="s">
        <v>159</v>
      </c>
      <c r="C41" s="62" t="s">
        <v>127</v>
      </c>
      <c r="D41" s="79" t="s">
        <v>116</v>
      </c>
      <c r="E41" s="63">
        <f>3.9-1.1-0.4-0.6</f>
        <v>1.7999999999999998</v>
      </c>
      <c r="F41" s="54">
        <v>2210</v>
      </c>
      <c r="G41" s="54"/>
    </row>
    <row r="42" spans="1:7" ht="16.5" customHeight="1">
      <c r="A42" s="24" t="s">
        <v>291</v>
      </c>
      <c r="B42" s="62" t="s">
        <v>159</v>
      </c>
      <c r="C42" s="62" t="s">
        <v>127</v>
      </c>
      <c r="D42" s="79" t="s">
        <v>116</v>
      </c>
      <c r="E42" s="63">
        <f>11.2-0.8-0.2-0.5-0.4-0.5-4.5-0.7-0.3</f>
        <v>3.299999999999999</v>
      </c>
      <c r="F42" s="54">
        <v>2210</v>
      </c>
      <c r="G42" s="54"/>
    </row>
    <row r="43" spans="1:7" ht="16.5" customHeight="1">
      <c r="A43" s="24" t="s">
        <v>292</v>
      </c>
      <c r="B43" s="62" t="s">
        <v>159</v>
      </c>
      <c r="C43" s="62" t="s">
        <v>127</v>
      </c>
      <c r="D43" s="79" t="s">
        <v>116</v>
      </c>
      <c r="E43" s="63">
        <f>19.8-1-0.6+0.7-2.3-0.1-0.8-0.3</f>
        <v>15.399999999999995</v>
      </c>
      <c r="F43" s="54">
        <v>2210</v>
      </c>
      <c r="G43" s="54"/>
    </row>
    <row r="44" spans="1:7" ht="16.5" customHeight="1">
      <c r="A44" s="24" t="s">
        <v>293</v>
      </c>
      <c r="B44" s="62" t="s">
        <v>159</v>
      </c>
      <c r="C44" s="62" t="s">
        <v>127</v>
      </c>
      <c r="D44" s="79" t="s">
        <v>116</v>
      </c>
      <c r="E44" s="63">
        <f>4.5-0.3+0.5+1.8+0.5-1+0.8</f>
        <v>6.8</v>
      </c>
      <c r="F44" s="54">
        <v>2210</v>
      </c>
      <c r="G44" s="54"/>
    </row>
    <row r="45" spans="1:7" ht="16.5" customHeight="1">
      <c r="A45" s="24" t="s">
        <v>294</v>
      </c>
      <c r="B45" s="62" t="s">
        <v>159</v>
      </c>
      <c r="C45" s="62" t="s">
        <v>127</v>
      </c>
      <c r="D45" s="79" t="s">
        <v>116</v>
      </c>
      <c r="E45" s="63">
        <f>2.6-2.6</f>
        <v>0</v>
      </c>
      <c r="F45" s="54">
        <v>2210</v>
      </c>
      <c r="G45" s="54"/>
    </row>
    <row r="46" spans="1:7" ht="25.5" customHeight="1">
      <c r="A46" s="24" t="s">
        <v>295</v>
      </c>
      <c r="B46" s="62" t="s">
        <v>159</v>
      </c>
      <c r="C46" s="62" t="s">
        <v>127</v>
      </c>
      <c r="D46" s="79" t="s">
        <v>116</v>
      </c>
      <c r="E46" s="63">
        <f>2-2</f>
        <v>0</v>
      </c>
      <c r="F46" s="54">
        <v>2210</v>
      </c>
      <c r="G46" s="54"/>
    </row>
    <row r="47" spans="1:7" ht="16.5" customHeight="1">
      <c r="A47" s="24" t="s">
        <v>296</v>
      </c>
      <c r="B47" s="62" t="s">
        <v>159</v>
      </c>
      <c r="C47" s="62" t="s">
        <v>127</v>
      </c>
      <c r="D47" s="79" t="s">
        <v>116</v>
      </c>
      <c r="E47" s="63">
        <f>0.1+0.1</f>
        <v>0.2</v>
      </c>
      <c r="F47" s="54">
        <v>2210</v>
      </c>
      <c r="G47" s="54"/>
    </row>
    <row r="48" spans="1:7" ht="16.5" customHeight="1">
      <c r="A48" s="24" t="s">
        <v>297</v>
      </c>
      <c r="B48" s="62" t="s">
        <v>159</v>
      </c>
      <c r="C48" s="62" t="s">
        <v>127</v>
      </c>
      <c r="D48" s="79" t="s">
        <v>116</v>
      </c>
      <c r="E48" s="63">
        <v>31.1</v>
      </c>
      <c r="F48" s="54">
        <v>2210</v>
      </c>
      <c r="G48" s="54"/>
    </row>
    <row r="49" spans="1:7" ht="16.5" customHeight="1">
      <c r="A49" s="24" t="s">
        <v>298</v>
      </c>
      <c r="B49" s="62" t="s">
        <v>159</v>
      </c>
      <c r="C49" s="62" t="s">
        <v>127</v>
      </c>
      <c r="D49" s="79" t="s">
        <v>116</v>
      </c>
      <c r="E49" s="63">
        <f>53.3+5.7+9.1+0.1+3.5+0.3+0.2+0.5+0.1+0.4+0.2+3.2</f>
        <v>76.6</v>
      </c>
      <c r="F49" s="54">
        <v>2210</v>
      </c>
      <c r="G49" s="54"/>
    </row>
    <row r="50" spans="1:7" ht="16.5" customHeight="1">
      <c r="A50" s="24" t="s">
        <v>299</v>
      </c>
      <c r="B50" s="62" t="s">
        <v>159</v>
      </c>
      <c r="C50" s="62" t="s">
        <v>127</v>
      </c>
      <c r="D50" s="79" t="s">
        <v>116</v>
      </c>
      <c r="E50" s="63">
        <f>30+2.1+5.9-1.2-3.2-1</f>
        <v>32.599999999999994</v>
      </c>
      <c r="F50" s="54">
        <v>2210</v>
      </c>
      <c r="G50" s="54"/>
    </row>
    <row r="51" spans="1:7" ht="16.5" customHeight="1">
      <c r="A51" s="24" t="s">
        <v>300</v>
      </c>
      <c r="B51" s="62" t="s">
        <v>159</v>
      </c>
      <c r="C51" s="62" t="s">
        <v>127</v>
      </c>
      <c r="D51" s="79" t="s">
        <v>116</v>
      </c>
      <c r="E51" s="63">
        <f>30.5-9.1-5.9+0.8</f>
        <v>16.299999999999997</v>
      </c>
      <c r="F51" s="54">
        <v>2210</v>
      </c>
      <c r="G51" s="54"/>
    </row>
    <row r="52" spans="1:7" ht="16.5" customHeight="1">
      <c r="A52" s="24" t="s">
        <v>301</v>
      </c>
      <c r="B52" s="62" t="s">
        <v>159</v>
      </c>
      <c r="C52" s="62" t="s">
        <v>127</v>
      </c>
      <c r="D52" s="79" t="s">
        <v>116</v>
      </c>
      <c r="E52" s="63">
        <f>3.5+0.7</f>
        <v>4.2</v>
      </c>
      <c r="F52" s="54">
        <v>2210</v>
      </c>
      <c r="G52" s="54"/>
    </row>
    <row r="53" spans="1:7" ht="16.5" customHeight="1">
      <c r="A53" s="24" t="s">
        <v>302</v>
      </c>
      <c r="B53" s="62" t="s">
        <v>159</v>
      </c>
      <c r="C53" s="62" t="s">
        <v>127</v>
      </c>
      <c r="D53" s="79" t="s">
        <v>116</v>
      </c>
      <c r="E53" s="63">
        <f>0.7-0.7</f>
        <v>0</v>
      </c>
      <c r="F53" s="54">
        <v>2210</v>
      </c>
      <c r="G53" s="54"/>
    </row>
    <row r="54" spans="1:7" ht="26.25" customHeight="1">
      <c r="A54" s="24" t="s">
        <v>303</v>
      </c>
      <c r="B54" s="62" t="s">
        <v>159</v>
      </c>
      <c r="C54" s="62" t="s">
        <v>127</v>
      </c>
      <c r="D54" s="79" t="s">
        <v>116</v>
      </c>
      <c r="E54" s="63">
        <v>10</v>
      </c>
      <c r="F54" s="54">
        <v>2210</v>
      </c>
      <c r="G54" s="54"/>
    </row>
    <row r="55" spans="1:7" ht="16.5" customHeight="1">
      <c r="A55" s="24" t="s">
        <v>304</v>
      </c>
      <c r="B55" s="62" t="s">
        <v>159</v>
      </c>
      <c r="C55" s="62" t="s">
        <v>127</v>
      </c>
      <c r="D55" s="79" t="s">
        <v>116</v>
      </c>
      <c r="E55" s="63">
        <f>5.6-1.5</f>
        <v>4.1</v>
      </c>
      <c r="F55" s="54">
        <v>2210</v>
      </c>
      <c r="G55" s="54"/>
    </row>
    <row r="56" spans="1:7" ht="16.5" customHeight="1">
      <c r="A56" s="24" t="s">
        <v>305</v>
      </c>
      <c r="B56" s="62" t="s">
        <v>159</v>
      </c>
      <c r="C56" s="62" t="s">
        <v>127</v>
      </c>
      <c r="D56" s="79" t="s">
        <v>116</v>
      </c>
      <c r="E56" s="63">
        <v>2.2</v>
      </c>
      <c r="F56" s="54">
        <v>2210</v>
      </c>
      <c r="G56" s="54"/>
    </row>
    <row r="57" spans="1:7" ht="16.5" customHeight="1">
      <c r="A57" s="24" t="s">
        <v>306</v>
      </c>
      <c r="B57" s="62" t="s">
        <v>159</v>
      </c>
      <c r="C57" s="62" t="s">
        <v>127</v>
      </c>
      <c r="D57" s="79" t="s">
        <v>116</v>
      </c>
      <c r="E57" s="63">
        <f>0.3-0.1</f>
        <v>0.19999999999999998</v>
      </c>
      <c r="F57" s="54">
        <v>2210</v>
      </c>
      <c r="G57" s="54"/>
    </row>
    <row r="58" spans="1:7" ht="16.5" customHeight="1">
      <c r="A58" s="24" t="s">
        <v>307</v>
      </c>
      <c r="B58" s="62" t="s">
        <v>159</v>
      </c>
      <c r="C58" s="62" t="s">
        <v>127</v>
      </c>
      <c r="D58" s="79" t="s">
        <v>116</v>
      </c>
      <c r="E58" s="63">
        <f>48.6-1.6-1.1-4.2-2.7-1-0.6-0.5-1.4-1.3-0.2-1.4-0.2</f>
        <v>32.39999999999999</v>
      </c>
      <c r="F58" s="54">
        <v>2210</v>
      </c>
      <c r="G58" s="54"/>
    </row>
    <row r="59" spans="1:7" ht="16.5" customHeight="1">
      <c r="A59" s="24" t="s">
        <v>308</v>
      </c>
      <c r="B59" s="62" t="s">
        <v>159</v>
      </c>
      <c r="C59" s="62" t="s">
        <v>127</v>
      </c>
      <c r="D59" s="79" t="s">
        <v>116</v>
      </c>
      <c r="E59" s="63">
        <f>21.1-3.8-1.5-0.7</f>
        <v>15.100000000000001</v>
      </c>
      <c r="F59" s="54">
        <v>2210</v>
      </c>
      <c r="G59" s="54"/>
    </row>
    <row r="60" spans="1:7" ht="16.5" customHeight="1">
      <c r="A60" s="24" t="s">
        <v>309</v>
      </c>
      <c r="B60" s="62" t="s">
        <v>159</v>
      </c>
      <c r="C60" s="62" t="s">
        <v>127</v>
      </c>
      <c r="D60" s="89" t="s">
        <v>116</v>
      </c>
      <c r="E60" s="63">
        <f>1.3-0.5</f>
        <v>0.8</v>
      </c>
      <c r="F60" s="89">
        <v>2210</v>
      </c>
      <c r="G60" s="89"/>
    </row>
    <row r="61" spans="1:7" ht="16.5" customHeight="1">
      <c r="A61" s="24" t="s">
        <v>310</v>
      </c>
      <c r="B61" s="62" t="s">
        <v>159</v>
      </c>
      <c r="C61" s="62" t="s">
        <v>127</v>
      </c>
      <c r="D61" s="79" t="s">
        <v>116</v>
      </c>
      <c r="E61" s="63">
        <f>3.3-3.3</f>
        <v>0</v>
      </c>
      <c r="F61" s="54">
        <v>2210</v>
      </c>
      <c r="G61" s="54"/>
    </row>
    <row r="62" spans="1:7" ht="27" customHeight="1">
      <c r="A62" s="24" t="s">
        <v>311</v>
      </c>
      <c r="B62" s="62" t="s">
        <v>159</v>
      </c>
      <c r="C62" s="62" t="s">
        <v>127</v>
      </c>
      <c r="D62" s="79" t="s">
        <v>116</v>
      </c>
      <c r="E62" s="63">
        <f>1.8-1.8</f>
        <v>0</v>
      </c>
      <c r="F62" s="54">
        <v>2210</v>
      </c>
      <c r="G62" s="54"/>
    </row>
    <row r="63" spans="1:7" ht="24.75" customHeight="1">
      <c r="A63" s="24" t="s">
        <v>312</v>
      </c>
      <c r="B63" s="62" t="s">
        <v>159</v>
      </c>
      <c r="C63" s="62" t="s">
        <v>127</v>
      </c>
      <c r="D63" s="79" t="s">
        <v>116</v>
      </c>
      <c r="E63" s="63">
        <f>0.9+1.6+1.4</f>
        <v>3.9</v>
      </c>
      <c r="F63" s="54">
        <v>2210</v>
      </c>
      <c r="G63" s="54"/>
    </row>
    <row r="64" spans="1:7" ht="16.5" customHeight="1">
      <c r="A64" s="24" t="s">
        <v>313</v>
      </c>
      <c r="B64" s="62" t="s">
        <v>159</v>
      </c>
      <c r="C64" s="62" t="s">
        <v>127</v>
      </c>
      <c r="D64" s="89" t="s">
        <v>116</v>
      </c>
      <c r="E64" s="63">
        <v>0</v>
      </c>
      <c r="F64" s="89">
        <v>2210</v>
      </c>
      <c r="G64" s="89"/>
    </row>
    <row r="65" spans="1:7" ht="16.5" customHeight="1">
      <c r="A65" s="24" t="s">
        <v>314</v>
      </c>
      <c r="B65" s="62" t="s">
        <v>159</v>
      </c>
      <c r="C65" s="62" t="s">
        <v>127</v>
      </c>
      <c r="D65" s="79" t="s">
        <v>116</v>
      </c>
      <c r="E65" s="63">
        <v>0</v>
      </c>
      <c r="F65" s="54">
        <v>2210</v>
      </c>
      <c r="G65" s="54"/>
    </row>
    <row r="66" spans="1:7" ht="33" customHeight="1">
      <c r="A66" s="24" t="s">
        <v>315</v>
      </c>
      <c r="B66" s="62" t="s">
        <v>159</v>
      </c>
      <c r="C66" s="62" t="s">
        <v>127</v>
      </c>
      <c r="D66" s="79" t="s">
        <v>116</v>
      </c>
      <c r="E66" s="63">
        <v>0.2</v>
      </c>
      <c r="F66" s="67">
        <v>2210</v>
      </c>
      <c r="G66" s="67"/>
    </row>
    <row r="67" spans="1:7" ht="16.5" customHeight="1">
      <c r="A67" s="78" t="s">
        <v>462</v>
      </c>
      <c r="B67" s="62" t="s">
        <v>159</v>
      </c>
      <c r="C67" s="62" t="s">
        <v>127</v>
      </c>
      <c r="D67" s="79" t="s">
        <v>116</v>
      </c>
      <c r="E67" s="63"/>
      <c r="F67" s="67"/>
      <c r="G67" s="67"/>
    </row>
    <row r="68" spans="1:7" ht="16.5" customHeight="1">
      <c r="A68" s="24" t="s">
        <v>438</v>
      </c>
      <c r="B68" s="62" t="s">
        <v>159</v>
      </c>
      <c r="C68" s="62" t="s">
        <v>127</v>
      </c>
      <c r="D68" s="79" t="s">
        <v>116</v>
      </c>
      <c r="E68" s="63">
        <v>54.5</v>
      </c>
      <c r="F68" s="67">
        <v>2210</v>
      </c>
      <c r="G68" s="67"/>
    </row>
    <row r="69" spans="1:7" ht="16.5" customHeight="1">
      <c r="A69" s="24" t="s">
        <v>439</v>
      </c>
      <c r="B69" s="62" t="s">
        <v>159</v>
      </c>
      <c r="C69" s="62" t="s">
        <v>127</v>
      </c>
      <c r="D69" s="79" t="s">
        <v>116</v>
      </c>
      <c r="E69" s="63">
        <v>2</v>
      </c>
      <c r="F69" s="67">
        <v>2210</v>
      </c>
      <c r="G69" s="67"/>
    </row>
    <row r="70" spans="1:7" ht="31.5" customHeight="1">
      <c r="A70" s="24" t="s">
        <v>440</v>
      </c>
      <c r="B70" s="62" t="s">
        <v>159</v>
      </c>
      <c r="C70" s="62" t="s">
        <v>127</v>
      </c>
      <c r="D70" s="79" t="s">
        <v>116</v>
      </c>
      <c r="E70" s="63">
        <v>1</v>
      </c>
      <c r="F70" s="67">
        <v>2210</v>
      </c>
      <c r="G70" s="67"/>
    </row>
    <row r="71" spans="1:7" ht="26.25" customHeight="1">
      <c r="A71" s="24" t="s">
        <v>441</v>
      </c>
      <c r="B71" s="62" t="s">
        <v>159</v>
      </c>
      <c r="C71" s="62" t="s">
        <v>127</v>
      </c>
      <c r="D71" s="79" t="s">
        <v>116</v>
      </c>
      <c r="E71" s="63">
        <v>1.5</v>
      </c>
      <c r="F71" s="67">
        <v>2210</v>
      </c>
      <c r="G71" s="67"/>
    </row>
    <row r="72" spans="1:7" ht="25.5" customHeight="1">
      <c r="A72" s="24" t="s">
        <v>442</v>
      </c>
      <c r="B72" s="62" t="s">
        <v>159</v>
      </c>
      <c r="C72" s="62" t="s">
        <v>127</v>
      </c>
      <c r="D72" s="79" t="s">
        <v>116</v>
      </c>
      <c r="E72" s="63">
        <v>1.4</v>
      </c>
      <c r="F72" s="67">
        <v>2210</v>
      </c>
      <c r="G72" s="67"/>
    </row>
    <row r="73" spans="1:7" ht="27" customHeight="1">
      <c r="A73" s="24" t="s">
        <v>443</v>
      </c>
      <c r="B73" s="62" t="s">
        <v>159</v>
      </c>
      <c r="C73" s="62" t="s">
        <v>127</v>
      </c>
      <c r="D73" s="79" t="s">
        <v>116</v>
      </c>
      <c r="E73" s="63">
        <v>96.6</v>
      </c>
      <c r="F73" s="67">
        <v>2210</v>
      </c>
      <c r="G73" s="67"/>
    </row>
    <row r="74" spans="1:7" ht="26.25" customHeight="1">
      <c r="A74" s="24" t="s">
        <v>444</v>
      </c>
      <c r="B74" s="62" t="s">
        <v>159</v>
      </c>
      <c r="C74" s="62" t="s">
        <v>127</v>
      </c>
      <c r="D74" s="79" t="s">
        <v>116</v>
      </c>
      <c r="E74" s="63">
        <v>8.4</v>
      </c>
      <c r="F74" s="67">
        <v>2210</v>
      </c>
      <c r="G74" s="67"/>
    </row>
    <row r="75" spans="1:7" ht="29.25" customHeight="1">
      <c r="A75" s="24" t="s">
        <v>445</v>
      </c>
      <c r="B75" s="62" t="s">
        <v>159</v>
      </c>
      <c r="C75" s="62" t="s">
        <v>127</v>
      </c>
      <c r="D75" s="79" t="s">
        <v>116</v>
      </c>
      <c r="E75" s="63">
        <v>0.3</v>
      </c>
      <c r="F75" s="67">
        <v>2210</v>
      </c>
      <c r="G75" s="67"/>
    </row>
    <row r="76" spans="1:7" ht="16.5" customHeight="1">
      <c r="A76" s="78" t="s">
        <v>447</v>
      </c>
      <c r="B76" s="62"/>
      <c r="C76" s="62"/>
      <c r="D76" s="67"/>
      <c r="E76" s="63"/>
      <c r="F76" s="67"/>
      <c r="G76" s="67"/>
    </row>
    <row r="77" spans="1:7" ht="16.5" customHeight="1">
      <c r="A77" s="24" t="s">
        <v>658</v>
      </c>
      <c r="B77" s="62" t="s">
        <v>159</v>
      </c>
      <c r="C77" s="62" t="s">
        <v>127</v>
      </c>
      <c r="D77" s="102" t="s">
        <v>116</v>
      </c>
      <c r="E77" s="63">
        <v>2.8</v>
      </c>
      <c r="F77" s="102">
        <v>2210</v>
      </c>
      <c r="G77" s="102"/>
    </row>
    <row r="78" spans="1:7" ht="16.5" customHeight="1">
      <c r="A78" s="24" t="s">
        <v>449</v>
      </c>
      <c r="B78" s="62" t="s">
        <v>159</v>
      </c>
      <c r="C78" s="62" t="s">
        <v>127</v>
      </c>
      <c r="D78" s="86" t="s">
        <v>116</v>
      </c>
      <c r="E78" s="63">
        <f>21.3-21.3</f>
        <v>0</v>
      </c>
      <c r="F78" s="86">
        <v>2210</v>
      </c>
      <c r="G78" s="67"/>
    </row>
    <row r="79" spans="1:7" ht="16.5" customHeight="1">
      <c r="A79" s="24" t="s">
        <v>448</v>
      </c>
      <c r="B79" s="62" t="s">
        <v>159</v>
      </c>
      <c r="C79" s="62" t="s">
        <v>127</v>
      </c>
      <c r="D79" s="86" t="s">
        <v>116</v>
      </c>
      <c r="E79" s="63">
        <f>12.5-12.5</f>
        <v>0</v>
      </c>
      <c r="F79" s="86">
        <v>2210</v>
      </c>
      <c r="G79" s="67"/>
    </row>
    <row r="80" spans="1:7" ht="16.5" customHeight="1">
      <c r="A80" s="24" t="s">
        <v>450</v>
      </c>
      <c r="B80" s="62" t="s">
        <v>159</v>
      </c>
      <c r="C80" s="62" t="s">
        <v>127</v>
      </c>
      <c r="D80" s="86" t="s">
        <v>116</v>
      </c>
      <c r="E80" s="63">
        <f>12+6-18</f>
        <v>0</v>
      </c>
      <c r="F80" s="86">
        <v>2210</v>
      </c>
      <c r="G80" s="67"/>
    </row>
    <row r="81" spans="1:7" ht="16.5" customHeight="1">
      <c r="A81" s="24" t="s">
        <v>451</v>
      </c>
      <c r="B81" s="62" t="s">
        <v>159</v>
      </c>
      <c r="C81" s="62" t="s">
        <v>127</v>
      </c>
      <c r="D81" s="86" t="s">
        <v>116</v>
      </c>
      <c r="E81" s="63">
        <f>8.1-8.1</f>
        <v>0</v>
      </c>
      <c r="F81" s="86">
        <v>2210</v>
      </c>
      <c r="G81" s="67"/>
    </row>
    <row r="82" spans="1:7" ht="16.5" customHeight="1">
      <c r="A82" s="24" t="s">
        <v>452</v>
      </c>
      <c r="B82" s="62" t="s">
        <v>159</v>
      </c>
      <c r="C82" s="62" t="s">
        <v>127</v>
      </c>
      <c r="D82" s="86" t="s">
        <v>116</v>
      </c>
      <c r="E82" s="63">
        <f>1.5-1.5</f>
        <v>0</v>
      </c>
      <c r="F82" s="86">
        <v>2210</v>
      </c>
      <c r="G82" s="67"/>
    </row>
    <row r="83" spans="1:7" ht="16.5" customHeight="1">
      <c r="A83" s="24" t="s">
        <v>453</v>
      </c>
      <c r="B83" s="62" t="s">
        <v>159</v>
      </c>
      <c r="C83" s="62" t="s">
        <v>127</v>
      </c>
      <c r="D83" s="86" t="s">
        <v>116</v>
      </c>
      <c r="E83" s="63">
        <f>60-60</f>
        <v>0</v>
      </c>
      <c r="F83" s="86">
        <v>2210</v>
      </c>
      <c r="G83" s="67"/>
    </row>
    <row r="84" spans="1:7" ht="16.5" customHeight="1">
      <c r="A84" s="24" t="s">
        <v>454</v>
      </c>
      <c r="B84" s="62" t="s">
        <v>159</v>
      </c>
      <c r="C84" s="62" t="s">
        <v>127</v>
      </c>
      <c r="D84" s="86" t="s">
        <v>116</v>
      </c>
      <c r="E84" s="63">
        <f>4.1-4.1</f>
        <v>0</v>
      </c>
      <c r="F84" s="86">
        <v>2210</v>
      </c>
      <c r="G84" s="67"/>
    </row>
    <row r="85" spans="1:7" ht="16.5" customHeight="1">
      <c r="A85" s="24" t="s">
        <v>455</v>
      </c>
      <c r="B85" s="62" t="s">
        <v>159</v>
      </c>
      <c r="C85" s="62" t="s">
        <v>127</v>
      </c>
      <c r="D85" s="89" t="s">
        <v>116</v>
      </c>
      <c r="E85" s="63">
        <f>20-20</f>
        <v>0</v>
      </c>
      <c r="F85" s="89">
        <v>2210</v>
      </c>
      <c r="G85" s="89"/>
    </row>
    <row r="86" spans="1:7" ht="16.5" customHeight="1">
      <c r="A86" s="24" t="s">
        <v>456</v>
      </c>
      <c r="B86" s="62" t="s">
        <v>159</v>
      </c>
      <c r="C86" s="62" t="s">
        <v>127</v>
      </c>
      <c r="D86" s="89" t="s">
        <v>116</v>
      </c>
      <c r="E86" s="63">
        <f>0.8-0.8</f>
        <v>0</v>
      </c>
      <c r="F86" s="89">
        <v>2210</v>
      </c>
      <c r="G86" s="89"/>
    </row>
    <row r="87" spans="1:7" ht="16.5" customHeight="1">
      <c r="A87" s="24" t="s">
        <v>457</v>
      </c>
      <c r="B87" s="62" t="s">
        <v>159</v>
      </c>
      <c r="C87" s="62" t="s">
        <v>127</v>
      </c>
      <c r="D87" s="86" t="s">
        <v>116</v>
      </c>
      <c r="E87" s="63">
        <f>36-36</f>
        <v>0</v>
      </c>
      <c r="F87" s="86">
        <v>2210</v>
      </c>
      <c r="G87" s="67"/>
    </row>
    <row r="88" spans="1:7" ht="16.5" customHeight="1">
      <c r="A88" s="24" t="s">
        <v>458</v>
      </c>
      <c r="B88" s="62" t="s">
        <v>159</v>
      </c>
      <c r="C88" s="62" t="s">
        <v>127</v>
      </c>
      <c r="D88" s="86" t="s">
        <v>116</v>
      </c>
      <c r="E88" s="63">
        <f>6-6</f>
        <v>0</v>
      </c>
      <c r="F88" s="86">
        <v>2210</v>
      </c>
      <c r="G88" s="67"/>
    </row>
    <row r="89" spans="1:7" ht="16.5" customHeight="1">
      <c r="A89" s="24" t="s">
        <v>459</v>
      </c>
      <c r="B89" s="62" t="s">
        <v>159</v>
      </c>
      <c r="C89" s="62" t="s">
        <v>127</v>
      </c>
      <c r="D89" s="86" t="s">
        <v>116</v>
      </c>
      <c r="E89" s="63">
        <f>10-10</f>
        <v>0</v>
      </c>
      <c r="F89" s="86">
        <v>2210</v>
      </c>
      <c r="G89" s="67"/>
    </row>
    <row r="90" spans="1:7" ht="16.5" customHeight="1">
      <c r="A90" s="24" t="s">
        <v>460</v>
      </c>
      <c r="B90" s="62" t="s">
        <v>159</v>
      </c>
      <c r="C90" s="62" t="s">
        <v>127</v>
      </c>
      <c r="D90" s="86" t="s">
        <v>116</v>
      </c>
      <c r="E90" s="63">
        <f>82-82</f>
        <v>0</v>
      </c>
      <c r="F90" s="86">
        <v>2210</v>
      </c>
      <c r="G90" s="67"/>
    </row>
    <row r="91" spans="1:7" ht="16.5" customHeight="1">
      <c r="A91" s="24" t="s">
        <v>461</v>
      </c>
      <c r="B91" s="62" t="s">
        <v>159</v>
      </c>
      <c r="C91" s="62" t="s">
        <v>127</v>
      </c>
      <c r="D91" s="86" t="s">
        <v>116</v>
      </c>
      <c r="E91" s="63">
        <v>0</v>
      </c>
      <c r="F91" s="86">
        <v>2210</v>
      </c>
      <c r="G91" s="67"/>
    </row>
    <row r="92" spans="1:7" ht="16.5" customHeight="1">
      <c r="A92" s="24" t="s">
        <v>652</v>
      </c>
      <c r="B92" s="62" t="s">
        <v>159</v>
      </c>
      <c r="C92" s="62" t="s">
        <v>127</v>
      </c>
      <c r="D92" s="86" t="s">
        <v>116</v>
      </c>
      <c r="E92" s="63">
        <v>3.3</v>
      </c>
      <c r="F92" s="86">
        <v>2210</v>
      </c>
      <c r="G92" s="67"/>
    </row>
    <row r="93" spans="1:7" ht="16.5" customHeight="1">
      <c r="A93" s="24" t="s">
        <v>653</v>
      </c>
      <c r="B93" s="62" t="s">
        <v>159</v>
      </c>
      <c r="C93" s="62" t="s">
        <v>127</v>
      </c>
      <c r="D93" s="86" t="s">
        <v>116</v>
      </c>
      <c r="E93" s="63">
        <v>0.4</v>
      </c>
      <c r="F93" s="86">
        <v>2210</v>
      </c>
      <c r="G93" s="67"/>
    </row>
    <row r="94" spans="1:7" ht="16.5" customHeight="1">
      <c r="A94" s="24" t="s">
        <v>659</v>
      </c>
      <c r="B94" s="62" t="s">
        <v>655</v>
      </c>
      <c r="C94" s="62" t="s">
        <v>127</v>
      </c>
      <c r="D94" s="123" t="s">
        <v>116</v>
      </c>
      <c r="E94" s="63">
        <v>0</v>
      </c>
      <c r="F94" s="123">
        <v>2210</v>
      </c>
      <c r="G94" s="123"/>
    </row>
    <row r="95" spans="1:7" ht="33.75" customHeight="1">
      <c r="A95" s="24" t="s">
        <v>660</v>
      </c>
      <c r="B95" s="62" t="s">
        <v>159</v>
      </c>
      <c r="C95" s="62" t="s">
        <v>127</v>
      </c>
      <c r="D95" s="86" t="s">
        <v>116</v>
      </c>
      <c r="E95" s="63">
        <v>3.3</v>
      </c>
      <c r="F95" s="86">
        <v>2210</v>
      </c>
      <c r="G95" s="67"/>
    </row>
    <row r="96" spans="1:7" ht="16.5" customHeight="1">
      <c r="A96" s="24" t="s">
        <v>539</v>
      </c>
      <c r="B96" s="62" t="s">
        <v>159</v>
      </c>
      <c r="C96" s="62" t="s">
        <v>127</v>
      </c>
      <c r="D96" s="86" t="s">
        <v>116</v>
      </c>
      <c r="E96" s="63">
        <f>26.3+9-35.3</f>
        <v>0</v>
      </c>
      <c r="F96" s="86">
        <v>2210</v>
      </c>
      <c r="G96" s="82"/>
    </row>
    <row r="97" spans="1:7" ht="16.5" customHeight="1">
      <c r="A97" s="24" t="s">
        <v>541</v>
      </c>
      <c r="B97" s="62" t="s">
        <v>159</v>
      </c>
      <c r="C97" s="62" t="s">
        <v>127</v>
      </c>
      <c r="D97" s="86" t="s">
        <v>116</v>
      </c>
      <c r="E97" s="63">
        <f>8.4-8.4</f>
        <v>0</v>
      </c>
      <c r="F97" s="86">
        <v>2210</v>
      </c>
      <c r="G97" s="82"/>
    </row>
    <row r="98" spans="1:7" ht="45.75" customHeight="1">
      <c r="A98" s="24" t="s">
        <v>540</v>
      </c>
      <c r="B98" s="62" t="s">
        <v>159</v>
      </c>
      <c r="C98" s="62" t="s">
        <v>127</v>
      </c>
      <c r="D98" s="107" t="s">
        <v>116</v>
      </c>
      <c r="E98" s="63">
        <f>6.3+1+1.4+22.1-30.8</f>
        <v>0</v>
      </c>
      <c r="F98" s="107">
        <v>2210</v>
      </c>
      <c r="G98" s="107"/>
    </row>
    <row r="99" spans="1:7" ht="27" customHeight="1">
      <c r="A99" s="90" t="s">
        <v>545</v>
      </c>
      <c r="B99" s="91" t="s">
        <v>159</v>
      </c>
      <c r="C99" s="91" t="s">
        <v>127</v>
      </c>
      <c r="D99" s="92" t="s">
        <v>116</v>
      </c>
      <c r="E99" s="93">
        <f>224.1-42.8-2.9-1.1-1.7-3-1.4-51.8-0.4-0.4-0.5</f>
        <v>118.10000000000001</v>
      </c>
      <c r="F99" s="92">
        <v>2210</v>
      </c>
      <c r="G99" s="92"/>
    </row>
    <row r="100" spans="1:7" ht="15.75" customHeight="1">
      <c r="A100" s="24" t="s">
        <v>589</v>
      </c>
      <c r="B100" s="62" t="s">
        <v>159</v>
      </c>
      <c r="C100" s="62" t="s">
        <v>127</v>
      </c>
      <c r="D100" s="107" t="s">
        <v>116</v>
      </c>
      <c r="E100" s="63">
        <v>0.1</v>
      </c>
      <c r="F100" s="107">
        <v>2210</v>
      </c>
      <c r="G100" s="107"/>
    </row>
    <row r="101" spans="1:7" ht="15.75" customHeight="1">
      <c r="A101" s="24" t="s">
        <v>583</v>
      </c>
      <c r="B101" s="62" t="s">
        <v>159</v>
      </c>
      <c r="C101" s="62" t="s">
        <v>127</v>
      </c>
      <c r="D101" s="107" t="s">
        <v>116</v>
      </c>
      <c r="E101" s="63">
        <f>0.8+0.5+0.1+0.6</f>
        <v>2</v>
      </c>
      <c r="F101" s="107">
        <v>2210</v>
      </c>
      <c r="G101" s="107"/>
    </row>
    <row r="102" spans="1:7" ht="27.75" customHeight="1">
      <c r="A102" s="24" t="s">
        <v>588</v>
      </c>
      <c r="B102" s="62" t="s">
        <v>159</v>
      </c>
      <c r="C102" s="62" t="s">
        <v>127</v>
      </c>
      <c r="D102" s="107" t="s">
        <v>116</v>
      </c>
      <c r="E102" s="63">
        <f>15.4+2.3</f>
        <v>17.7</v>
      </c>
      <c r="F102" s="107">
        <v>2210</v>
      </c>
      <c r="G102" s="107"/>
    </row>
    <row r="103" spans="1:7" ht="28.5" customHeight="1">
      <c r="A103" s="24" t="s">
        <v>586</v>
      </c>
      <c r="B103" s="62" t="s">
        <v>159</v>
      </c>
      <c r="C103" s="62" t="s">
        <v>127</v>
      </c>
      <c r="D103" s="107" t="s">
        <v>116</v>
      </c>
      <c r="E103" s="63">
        <v>22</v>
      </c>
      <c r="F103" s="107">
        <v>2210</v>
      </c>
      <c r="G103" s="107"/>
    </row>
    <row r="104" spans="1:7" ht="15.75" customHeight="1">
      <c r="A104" s="24" t="s">
        <v>587</v>
      </c>
      <c r="B104" s="62" t="s">
        <v>159</v>
      </c>
      <c r="C104" s="62" t="s">
        <v>127</v>
      </c>
      <c r="D104" s="107" t="s">
        <v>116</v>
      </c>
      <c r="E104" s="63">
        <f>5.7-3.9-1.8+1.3+1+0.7</f>
        <v>3</v>
      </c>
      <c r="F104" s="107">
        <v>2210</v>
      </c>
      <c r="G104" s="107"/>
    </row>
    <row r="105" spans="1:7" ht="15.75" customHeight="1">
      <c r="A105" s="24" t="s">
        <v>590</v>
      </c>
      <c r="B105" s="62" t="s">
        <v>159</v>
      </c>
      <c r="C105" s="62" t="s">
        <v>127</v>
      </c>
      <c r="D105" s="107" t="s">
        <v>116</v>
      </c>
      <c r="E105" s="63">
        <f>36.3-34.9-1.4</f>
        <v>0</v>
      </c>
      <c r="F105" s="107">
        <v>2210</v>
      </c>
      <c r="G105" s="107"/>
    </row>
    <row r="106" spans="1:7" ht="15.75" customHeight="1">
      <c r="A106" s="24" t="s">
        <v>591</v>
      </c>
      <c r="B106" s="62" t="s">
        <v>159</v>
      </c>
      <c r="C106" s="62" t="s">
        <v>127</v>
      </c>
      <c r="D106" s="107" t="s">
        <v>116</v>
      </c>
      <c r="E106" s="63">
        <v>3</v>
      </c>
      <c r="F106" s="107">
        <v>2210</v>
      </c>
      <c r="G106" s="107"/>
    </row>
    <row r="107" spans="1:7" ht="15.75" customHeight="1">
      <c r="A107" s="24" t="s">
        <v>592</v>
      </c>
      <c r="B107" s="62" t="s">
        <v>159</v>
      </c>
      <c r="C107" s="62" t="s">
        <v>127</v>
      </c>
      <c r="D107" s="107" t="s">
        <v>116</v>
      </c>
      <c r="E107" s="63">
        <f>2.6-2.6</f>
        <v>0</v>
      </c>
      <c r="F107" s="107">
        <v>2210</v>
      </c>
      <c r="G107" s="107"/>
    </row>
    <row r="108" spans="1:7" ht="45" customHeight="1">
      <c r="A108" s="24" t="s">
        <v>593</v>
      </c>
      <c r="B108" s="62" t="s">
        <v>159</v>
      </c>
      <c r="C108" s="62" t="s">
        <v>127</v>
      </c>
      <c r="D108" s="107" t="s">
        <v>116</v>
      </c>
      <c r="E108" s="63">
        <f>9.1-1-3.6-0.2-2-2.3</f>
        <v>0</v>
      </c>
      <c r="F108" s="107">
        <v>2210</v>
      </c>
      <c r="G108" s="107"/>
    </row>
    <row r="109" spans="1:7" ht="18.75" customHeight="1">
      <c r="A109" s="24" t="s">
        <v>594</v>
      </c>
      <c r="B109" s="62" t="s">
        <v>159</v>
      </c>
      <c r="C109" s="62" t="s">
        <v>127</v>
      </c>
      <c r="D109" s="107" t="s">
        <v>116</v>
      </c>
      <c r="E109" s="63">
        <f>12.8-9.6-0.3-2.8-0.1</f>
        <v>1.4155343563970746E-15</v>
      </c>
      <c r="F109" s="107">
        <v>2210</v>
      </c>
      <c r="G109" s="107"/>
    </row>
    <row r="110" spans="1:7" ht="17.25" customHeight="1">
      <c r="A110" s="24" t="s">
        <v>595</v>
      </c>
      <c r="B110" s="62" t="s">
        <v>159</v>
      </c>
      <c r="C110" s="62" t="s">
        <v>127</v>
      </c>
      <c r="D110" s="107" t="s">
        <v>116</v>
      </c>
      <c r="E110" s="63">
        <f>29.7-29.7</f>
        <v>0</v>
      </c>
      <c r="F110" s="107">
        <v>2210</v>
      </c>
      <c r="G110" s="107"/>
    </row>
    <row r="111" spans="1:7" ht="18" customHeight="1">
      <c r="A111" s="24" t="s">
        <v>596</v>
      </c>
      <c r="B111" s="62" t="s">
        <v>159</v>
      </c>
      <c r="C111" s="62" t="s">
        <v>127</v>
      </c>
      <c r="D111" s="107" t="s">
        <v>116</v>
      </c>
      <c r="E111" s="63">
        <f>8-8</f>
        <v>0</v>
      </c>
      <c r="F111" s="107">
        <v>2210</v>
      </c>
      <c r="G111" s="107"/>
    </row>
    <row r="112" spans="1:7" ht="15.75" customHeight="1">
      <c r="A112" s="24" t="s">
        <v>597</v>
      </c>
      <c r="B112" s="62" t="s">
        <v>159</v>
      </c>
      <c r="C112" s="62" t="s">
        <v>127</v>
      </c>
      <c r="D112" s="107" t="s">
        <v>116</v>
      </c>
      <c r="E112" s="63">
        <f>12.2-4.3-1</f>
        <v>6.8999999999999995</v>
      </c>
      <c r="F112" s="107">
        <v>2210</v>
      </c>
      <c r="G112" s="107"/>
    </row>
    <row r="113" spans="1:7" ht="15.75" customHeight="1">
      <c r="A113" s="24" t="s">
        <v>598</v>
      </c>
      <c r="B113" s="62" t="s">
        <v>159</v>
      </c>
      <c r="C113" s="62" t="s">
        <v>127</v>
      </c>
      <c r="D113" s="107" t="s">
        <v>116</v>
      </c>
      <c r="E113" s="63">
        <f>0.4-0.4</f>
        <v>0</v>
      </c>
      <c r="F113" s="107">
        <v>2210</v>
      </c>
      <c r="G113" s="107"/>
    </row>
    <row r="114" spans="1:7" ht="16.5" customHeight="1">
      <c r="A114" s="24" t="s">
        <v>599</v>
      </c>
      <c r="B114" s="62" t="s">
        <v>159</v>
      </c>
      <c r="C114" s="62" t="s">
        <v>127</v>
      </c>
      <c r="D114" s="107" t="s">
        <v>116</v>
      </c>
      <c r="E114" s="63">
        <f>5.6-0.6</f>
        <v>5</v>
      </c>
      <c r="F114" s="107">
        <v>2210</v>
      </c>
      <c r="G114" s="107"/>
    </row>
    <row r="115" spans="1:7" ht="16.5" customHeight="1">
      <c r="A115" s="24" t="s">
        <v>600</v>
      </c>
      <c r="B115" s="62" t="s">
        <v>159</v>
      </c>
      <c r="C115" s="62" t="s">
        <v>127</v>
      </c>
      <c r="D115" s="107" t="s">
        <v>116</v>
      </c>
      <c r="E115" s="63">
        <f>1+0.1+0.3+0.7+0.6+0.6+0.4+1-0.2</f>
        <v>4.5</v>
      </c>
      <c r="F115" s="107">
        <v>2210</v>
      </c>
      <c r="G115" s="107"/>
    </row>
    <row r="116" spans="1:7" ht="30.75" customHeight="1">
      <c r="A116" s="24" t="s">
        <v>601</v>
      </c>
      <c r="B116" s="62" t="s">
        <v>159</v>
      </c>
      <c r="C116" s="62" t="s">
        <v>127</v>
      </c>
      <c r="D116" s="107" t="s">
        <v>116</v>
      </c>
      <c r="E116" s="63">
        <f>3-0.6</f>
        <v>2.4</v>
      </c>
      <c r="F116" s="107">
        <v>2210</v>
      </c>
      <c r="G116" s="107"/>
    </row>
    <row r="117" spans="1:7" ht="16.5" customHeight="1">
      <c r="A117" s="24" t="s">
        <v>602</v>
      </c>
      <c r="B117" s="62" t="s">
        <v>159</v>
      </c>
      <c r="C117" s="62" t="s">
        <v>127</v>
      </c>
      <c r="D117" s="107" t="s">
        <v>116</v>
      </c>
      <c r="E117" s="63">
        <f>7.6-0.5</f>
        <v>7.1</v>
      </c>
      <c r="F117" s="107">
        <v>2210</v>
      </c>
      <c r="G117" s="107"/>
    </row>
    <row r="118" spans="1:7" ht="16.5" customHeight="1">
      <c r="A118" s="24" t="s">
        <v>589</v>
      </c>
      <c r="B118" s="62" t="s">
        <v>159</v>
      </c>
      <c r="C118" s="62" t="s">
        <v>127</v>
      </c>
      <c r="D118" s="107" t="s">
        <v>116</v>
      </c>
      <c r="E118" s="63">
        <f>6+1.4+4.3</f>
        <v>11.7</v>
      </c>
      <c r="F118" s="107">
        <v>2210</v>
      </c>
      <c r="G118" s="107"/>
    </row>
    <row r="119" spans="1:7" ht="16.5" customHeight="1">
      <c r="A119" s="24" t="s">
        <v>603</v>
      </c>
      <c r="B119" s="62" t="s">
        <v>159</v>
      </c>
      <c r="C119" s="62" t="s">
        <v>127</v>
      </c>
      <c r="D119" s="107" t="s">
        <v>116</v>
      </c>
      <c r="E119" s="63">
        <f>2.2-2.2</f>
        <v>0</v>
      </c>
      <c r="F119" s="107">
        <v>2210</v>
      </c>
      <c r="G119" s="107"/>
    </row>
    <row r="120" spans="1:7" ht="16.5" customHeight="1">
      <c r="A120" s="24" t="s">
        <v>604</v>
      </c>
      <c r="B120" s="62" t="s">
        <v>159</v>
      </c>
      <c r="C120" s="62" t="s">
        <v>127</v>
      </c>
      <c r="D120" s="107" t="s">
        <v>116</v>
      </c>
      <c r="E120" s="63">
        <f>2.1-2.1</f>
        <v>0</v>
      </c>
      <c r="F120" s="107">
        <v>2210</v>
      </c>
      <c r="G120" s="107"/>
    </row>
    <row r="121" spans="1:7" ht="16.5" customHeight="1">
      <c r="A121" s="24" t="s">
        <v>605</v>
      </c>
      <c r="B121" s="62" t="s">
        <v>159</v>
      </c>
      <c r="C121" s="62" t="s">
        <v>127</v>
      </c>
      <c r="D121" s="107" t="s">
        <v>116</v>
      </c>
      <c r="E121" s="63">
        <f>2.1-2.1</f>
        <v>0</v>
      </c>
      <c r="F121" s="107">
        <v>2210</v>
      </c>
      <c r="G121" s="107"/>
    </row>
    <row r="122" spans="1:7" ht="16.5" customHeight="1">
      <c r="A122" s="24" t="s">
        <v>606</v>
      </c>
      <c r="B122" s="62" t="s">
        <v>159</v>
      </c>
      <c r="C122" s="62" t="s">
        <v>127</v>
      </c>
      <c r="D122" s="107" t="s">
        <v>116</v>
      </c>
      <c r="E122" s="63">
        <f>2.1-2.1</f>
        <v>0</v>
      </c>
      <c r="F122" s="107">
        <v>2210</v>
      </c>
      <c r="G122" s="107"/>
    </row>
    <row r="123" spans="1:7" ht="37.5" customHeight="1">
      <c r="A123" s="24" t="s">
        <v>607</v>
      </c>
      <c r="B123" s="62" t="s">
        <v>159</v>
      </c>
      <c r="C123" s="62" t="s">
        <v>127</v>
      </c>
      <c r="D123" s="107" t="s">
        <v>116</v>
      </c>
      <c r="E123" s="63">
        <f>3+0.1+10+1</f>
        <v>14.1</v>
      </c>
      <c r="F123" s="107">
        <v>2210</v>
      </c>
      <c r="G123" s="107"/>
    </row>
    <row r="124" spans="1:7" ht="16.5" customHeight="1">
      <c r="A124" s="24" t="s">
        <v>608</v>
      </c>
      <c r="B124" s="62" t="s">
        <v>159</v>
      </c>
      <c r="C124" s="62" t="s">
        <v>127</v>
      </c>
      <c r="D124" s="107" t="s">
        <v>116</v>
      </c>
      <c r="E124" s="63">
        <f>28.7+3.8</f>
        <v>32.5</v>
      </c>
      <c r="F124" s="107">
        <v>2210</v>
      </c>
      <c r="G124" s="107"/>
    </row>
    <row r="125" spans="1:7" ht="16.5" customHeight="1">
      <c r="A125" s="24" t="s">
        <v>609</v>
      </c>
      <c r="B125" s="62" t="s">
        <v>159</v>
      </c>
      <c r="C125" s="62" t="s">
        <v>127</v>
      </c>
      <c r="D125" s="107" t="s">
        <v>116</v>
      </c>
      <c r="E125" s="63">
        <f>1.5-0.1-0.3-0.1-0.5-0.5</f>
        <v>0</v>
      </c>
      <c r="F125" s="107">
        <v>2210</v>
      </c>
      <c r="G125" s="107"/>
    </row>
    <row r="126" spans="1:7" ht="39.75" customHeight="1">
      <c r="A126" s="24" t="s">
        <v>610</v>
      </c>
      <c r="B126" s="62" t="s">
        <v>159</v>
      </c>
      <c r="C126" s="62" t="s">
        <v>127</v>
      </c>
      <c r="D126" s="107" t="s">
        <v>116</v>
      </c>
      <c r="E126" s="63">
        <f>1.1-0.1-0.3-0.5-0.2</f>
        <v>0</v>
      </c>
      <c r="F126" s="107">
        <v>2210</v>
      </c>
      <c r="G126" s="107"/>
    </row>
    <row r="127" spans="1:7" ht="27.75" customHeight="1">
      <c r="A127" s="24" t="s">
        <v>611</v>
      </c>
      <c r="B127" s="62" t="s">
        <v>159</v>
      </c>
      <c r="C127" s="62" t="s">
        <v>127</v>
      </c>
      <c r="D127" s="116" t="s">
        <v>116</v>
      </c>
      <c r="E127" s="63">
        <f>0.9-0.5</f>
        <v>0.4</v>
      </c>
      <c r="F127" s="116">
        <v>2210</v>
      </c>
      <c r="G127" s="116"/>
    </row>
    <row r="128" spans="1:7" ht="27.75" customHeight="1">
      <c r="A128" s="24" t="s">
        <v>657</v>
      </c>
      <c r="B128" s="62" t="s">
        <v>655</v>
      </c>
      <c r="C128" s="62" t="s">
        <v>656</v>
      </c>
      <c r="D128" s="123" t="s">
        <v>116</v>
      </c>
      <c r="E128" s="63">
        <v>1.9</v>
      </c>
      <c r="F128" s="123">
        <v>2210</v>
      </c>
      <c r="G128" s="123"/>
    </row>
    <row r="129" spans="1:7" ht="20.25" customHeight="1">
      <c r="A129" s="24" t="s">
        <v>635</v>
      </c>
      <c r="B129" s="62" t="s">
        <v>159</v>
      </c>
      <c r="C129" s="62" t="s">
        <v>127</v>
      </c>
      <c r="D129" s="116" t="s">
        <v>116</v>
      </c>
      <c r="E129" s="63">
        <f>0.2+0.3+0.2</f>
        <v>0.7</v>
      </c>
      <c r="F129" s="116">
        <v>2210</v>
      </c>
      <c r="G129" s="116"/>
    </row>
    <row r="130" spans="1:7" ht="20.25" customHeight="1">
      <c r="A130" s="24" t="s">
        <v>382</v>
      </c>
      <c r="B130" s="62" t="s">
        <v>655</v>
      </c>
      <c r="C130" s="62" t="s">
        <v>127</v>
      </c>
      <c r="D130" s="123" t="s">
        <v>116</v>
      </c>
      <c r="E130" s="63">
        <v>1.2</v>
      </c>
      <c r="F130" s="123">
        <v>2210</v>
      </c>
      <c r="G130" s="123"/>
    </row>
    <row r="131" spans="1:7" ht="30" customHeight="1">
      <c r="A131" s="24" t="s">
        <v>640</v>
      </c>
      <c r="B131" s="62" t="s">
        <v>159</v>
      </c>
      <c r="C131" s="62" t="s">
        <v>127</v>
      </c>
      <c r="D131" s="125" t="s">
        <v>116</v>
      </c>
      <c r="E131" s="63">
        <v>4</v>
      </c>
      <c r="F131" s="125">
        <v>2210</v>
      </c>
      <c r="G131" s="125"/>
    </row>
    <row r="132" spans="1:7" ht="31.5" customHeight="1">
      <c r="A132" s="24" t="s">
        <v>690</v>
      </c>
      <c r="B132" s="62" t="s">
        <v>159</v>
      </c>
      <c r="C132" s="62" t="s">
        <v>127</v>
      </c>
      <c r="D132" s="132" t="s">
        <v>116</v>
      </c>
      <c r="E132" s="63">
        <v>4</v>
      </c>
      <c r="F132" s="132">
        <v>2210</v>
      </c>
      <c r="G132" s="132"/>
    </row>
    <row r="133" spans="1:7" ht="27.75" customHeight="1">
      <c r="A133" s="24" t="s">
        <v>689</v>
      </c>
      <c r="B133" s="62" t="s">
        <v>159</v>
      </c>
      <c r="C133" s="62" t="s">
        <v>127</v>
      </c>
      <c r="D133" s="132" t="s">
        <v>116</v>
      </c>
      <c r="E133" s="63">
        <v>1.1</v>
      </c>
      <c r="F133" s="132">
        <v>2210</v>
      </c>
      <c r="G133" s="132"/>
    </row>
    <row r="134" spans="1:7" ht="18" customHeight="1">
      <c r="A134" s="24" t="s">
        <v>662</v>
      </c>
      <c r="B134" s="62" t="s">
        <v>159</v>
      </c>
      <c r="C134" s="62" t="s">
        <v>127</v>
      </c>
      <c r="D134" s="132" t="s">
        <v>116</v>
      </c>
      <c r="E134" s="63">
        <v>0.3</v>
      </c>
      <c r="F134" s="132">
        <v>2210</v>
      </c>
      <c r="G134" s="132"/>
    </row>
    <row r="135" spans="1:7" ht="18" customHeight="1">
      <c r="A135" s="24" t="s">
        <v>677</v>
      </c>
      <c r="B135" s="62" t="s">
        <v>159</v>
      </c>
      <c r="C135" s="62" t="s">
        <v>127</v>
      </c>
      <c r="D135" s="132" t="s">
        <v>116</v>
      </c>
      <c r="E135" s="63">
        <f>0.5+1.1+2.1</f>
        <v>3.7</v>
      </c>
      <c r="F135" s="132">
        <v>2210</v>
      </c>
      <c r="G135" s="132"/>
    </row>
    <row r="136" spans="1:7" ht="18" customHeight="1">
      <c r="A136" s="24" t="s">
        <v>678</v>
      </c>
      <c r="B136" s="62" t="s">
        <v>159</v>
      </c>
      <c r="C136" s="62" t="s">
        <v>127</v>
      </c>
      <c r="D136" s="132" t="s">
        <v>116</v>
      </c>
      <c r="E136" s="63">
        <f>4.2+1.5</f>
        <v>5.7</v>
      </c>
      <c r="F136" s="132">
        <v>2210</v>
      </c>
      <c r="G136" s="132"/>
    </row>
    <row r="137" spans="1:7" ht="18" customHeight="1">
      <c r="A137" s="24" t="s">
        <v>679</v>
      </c>
      <c r="B137" s="62" t="s">
        <v>159</v>
      </c>
      <c r="C137" s="62" t="s">
        <v>127</v>
      </c>
      <c r="D137" s="132" t="s">
        <v>116</v>
      </c>
      <c r="E137" s="63">
        <f>1.1+0.9+0.3+0.5+0.5</f>
        <v>3.3</v>
      </c>
      <c r="F137" s="132">
        <v>2210</v>
      </c>
      <c r="G137" s="132"/>
    </row>
    <row r="138" spans="1:7" ht="18" customHeight="1">
      <c r="A138" s="24" t="s">
        <v>384</v>
      </c>
      <c r="B138" s="62" t="s">
        <v>159</v>
      </c>
      <c r="C138" s="62" t="s">
        <v>127</v>
      </c>
      <c r="D138" s="135" t="s">
        <v>116</v>
      </c>
      <c r="E138" s="63">
        <f>3+0.2+0.5</f>
        <v>3.7</v>
      </c>
      <c r="F138" s="135">
        <v>2210</v>
      </c>
      <c r="G138" s="135"/>
    </row>
    <row r="139" spans="1:7" ht="18" customHeight="1">
      <c r="A139" s="24" t="s">
        <v>680</v>
      </c>
      <c r="B139" s="62" t="s">
        <v>159</v>
      </c>
      <c r="C139" s="62" t="s">
        <v>127</v>
      </c>
      <c r="D139" s="135" t="s">
        <v>116</v>
      </c>
      <c r="E139" s="63">
        <f>1+1.8+1.4</f>
        <v>4.199999999999999</v>
      </c>
      <c r="F139" s="135">
        <v>2210</v>
      </c>
      <c r="G139" s="135"/>
    </row>
    <row r="140" spans="1:7" ht="18" customHeight="1">
      <c r="A140" s="24" t="s">
        <v>683</v>
      </c>
      <c r="B140" s="62" t="s">
        <v>159</v>
      </c>
      <c r="C140" s="62" t="s">
        <v>127</v>
      </c>
      <c r="D140" s="135" t="s">
        <v>116</v>
      </c>
      <c r="E140" s="63">
        <v>7</v>
      </c>
      <c r="F140" s="135">
        <v>2210</v>
      </c>
      <c r="G140" s="135"/>
    </row>
    <row r="141" spans="1:7" ht="18" customHeight="1">
      <c r="A141" s="24" t="s">
        <v>654</v>
      </c>
      <c r="B141" s="62" t="s">
        <v>159</v>
      </c>
      <c r="C141" s="62" t="s">
        <v>127</v>
      </c>
      <c r="D141" s="135" t="s">
        <v>116</v>
      </c>
      <c r="E141" s="63">
        <v>5.1</v>
      </c>
      <c r="F141" s="135">
        <v>2210</v>
      </c>
      <c r="G141" s="135"/>
    </row>
    <row r="142" spans="1:7" ht="29.25" customHeight="1">
      <c r="A142" s="24" t="s">
        <v>687</v>
      </c>
      <c r="B142" s="62" t="s">
        <v>159</v>
      </c>
      <c r="C142" s="62" t="s">
        <v>127</v>
      </c>
      <c r="D142" s="135" t="s">
        <v>116</v>
      </c>
      <c r="E142" s="63">
        <v>13.2</v>
      </c>
      <c r="F142" s="135">
        <v>2210</v>
      </c>
      <c r="G142" s="135"/>
    </row>
    <row r="143" spans="1:7" ht="30" customHeight="1">
      <c r="A143" s="24" t="s">
        <v>688</v>
      </c>
      <c r="B143" s="62" t="s">
        <v>159</v>
      </c>
      <c r="C143" s="62" t="s">
        <v>127</v>
      </c>
      <c r="D143" s="146" t="s">
        <v>116</v>
      </c>
      <c r="E143" s="63">
        <v>22</v>
      </c>
      <c r="F143" s="146">
        <v>2210</v>
      </c>
      <c r="G143" s="146"/>
    </row>
    <row r="144" spans="1:7" ht="42" customHeight="1">
      <c r="A144" s="24" t="s">
        <v>479</v>
      </c>
      <c r="B144" s="62" t="s">
        <v>159</v>
      </c>
      <c r="C144" s="62" t="s">
        <v>127</v>
      </c>
      <c r="D144" s="146" t="s">
        <v>116</v>
      </c>
      <c r="E144" s="63">
        <v>58.6</v>
      </c>
      <c r="F144" s="146">
        <v>2210</v>
      </c>
      <c r="G144" s="146"/>
    </row>
    <row r="145" spans="1:7" ht="44.25" customHeight="1">
      <c r="A145" s="24" t="s">
        <v>480</v>
      </c>
      <c r="B145" s="62" t="s">
        <v>159</v>
      </c>
      <c r="C145" s="62" t="s">
        <v>127</v>
      </c>
      <c r="D145" s="146" t="s">
        <v>116</v>
      </c>
      <c r="E145" s="63">
        <v>10.4</v>
      </c>
      <c r="F145" s="146">
        <v>2210</v>
      </c>
      <c r="G145" s="146"/>
    </row>
    <row r="146" spans="1:7" ht="20.25" customHeight="1">
      <c r="A146" s="24" t="s">
        <v>539</v>
      </c>
      <c r="B146" s="62" t="s">
        <v>159</v>
      </c>
      <c r="C146" s="62" t="s">
        <v>127</v>
      </c>
      <c r="D146" s="146" t="s">
        <v>116</v>
      </c>
      <c r="E146" s="63">
        <f>0.4+3.3+0.4+1.3</f>
        <v>5.3999999999999995</v>
      </c>
      <c r="F146" s="146">
        <v>2210</v>
      </c>
      <c r="G146" s="146"/>
    </row>
    <row r="147" spans="1:7" ht="21" customHeight="1" thickBot="1">
      <c r="A147" s="24" t="s">
        <v>712</v>
      </c>
      <c r="B147" s="62" t="s">
        <v>159</v>
      </c>
      <c r="C147" s="62" t="s">
        <v>127</v>
      </c>
      <c r="D147" s="146" t="s">
        <v>116</v>
      </c>
      <c r="E147" s="63">
        <f>0.5+1.2+0.4</f>
        <v>2.1</v>
      </c>
      <c r="F147" s="146">
        <v>2210</v>
      </c>
      <c r="G147" s="146"/>
    </row>
    <row r="148" spans="1:7" ht="16.5" customHeight="1" thickBot="1">
      <c r="A148" s="201" t="s">
        <v>369</v>
      </c>
      <c r="B148" s="202"/>
      <c r="C148" s="202"/>
      <c r="D148" s="202"/>
      <c r="E148" s="47">
        <f>SUM(E25:E147)</f>
        <v>1017.7000000000002</v>
      </c>
      <c r="F148" s="48"/>
      <c r="G148" s="49"/>
    </row>
    <row r="149" spans="1:7" ht="16.5" customHeight="1">
      <c r="A149" s="38" t="s">
        <v>370</v>
      </c>
      <c r="B149" s="113" t="s">
        <v>271</v>
      </c>
      <c r="C149" s="113" t="s">
        <v>127</v>
      </c>
      <c r="D149" s="106" t="s">
        <v>116</v>
      </c>
      <c r="E149" s="65">
        <v>3.5</v>
      </c>
      <c r="F149" s="106">
        <v>2210</v>
      </c>
      <c r="G149" s="106"/>
    </row>
    <row r="150" spans="1:7" ht="16.5" customHeight="1">
      <c r="A150" s="24" t="s">
        <v>371</v>
      </c>
      <c r="B150" s="62" t="s">
        <v>271</v>
      </c>
      <c r="C150" s="62" t="s">
        <v>127</v>
      </c>
      <c r="D150" s="79" t="s">
        <v>116</v>
      </c>
      <c r="E150" s="63">
        <v>18.7</v>
      </c>
      <c r="F150" s="61">
        <v>2210</v>
      </c>
      <c r="G150" s="54"/>
    </row>
    <row r="151" spans="1:7" ht="16.5" customHeight="1">
      <c r="A151" s="24" t="s">
        <v>372</v>
      </c>
      <c r="B151" s="62" t="s">
        <v>271</v>
      </c>
      <c r="C151" s="62" t="s">
        <v>127</v>
      </c>
      <c r="D151" s="79" t="s">
        <v>116</v>
      </c>
      <c r="E151" s="63">
        <v>5.6</v>
      </c>
      <c r="F151" s="61">
        <v>2210</v>
      </c>
      <c r="G151" s="54"/>
    </row>
    <row r="152" spans="1:7" ht="16.5" customHeight="1">
      <c r="A152" s="24" t="s">
        <v>373</v>
      </c>
      <c r="B152" s="62" t="s">
        <v>271</v>
      </c>
      <c r="C152" s="62" t="s">
        <v>127</v>
      </c>
      <c r="D152" s="79" t="s">
        <v>116</v>
      </c>
      <c r="E152" s="63">
        <v>27.8</v>
      </c>
      <c r="F152" s="61">
        <v>2210</v>
      </c>
      <c r="G152" s="54"/>
    </row>
    <row r="153" spans="1:7" ht="16.5" customHeight="1">
      <c r="A153" s="24" t="s">
        <v>374</v>
      </c>
      <c r="B153" s="62" t="s">
        <v>271</v>
      </c>
      <c r="C153" s="62" t="s">
        <v>127</v>
      </c>
      <c r="D153" s="79" t="s">
        <v>116</v>
      </c>
      <c r="E153" s="63">
        <v>0.1</v>
      </c>
      <c r="F153" s="61">
        <v>2210</v>
      </c>
      <c r="G153" s="54"/>
    </row>
    <row r="154" spans="1:7" ht="16.5" customHeight="1">
      <c r="A154" s="24" t="s">
        <v>375</v>
      </c>
      <c r="B154" s="62" t="s">
        <v>271</v>
      </c>
      <c r="C154" s="62" t="s">
        <v>127</v>
      </c>
      <c r="D154" s="89" t="s">
        <v>116</v>
      </c>
      <c r="E154" s="63">
        <v>64.5</v>
      </c>
      <c r="F154" s="89">
        <v>2210</v>
      </c>
      <c r="G154" s="89"/>
    </row>
    <row r="155" spans="1:7" ht="27" customHeight="1">
      <c r="A155" s="24" t="s">
        <v>376</v>
      </c>
      <c r="B155" s="62" t="s">
        <v>271</v>
      </c>
      <c r="C155" s="62" t="s">
        <v>127</v>
      </c>
      <c r="D155" s="79" t="s">
        <v>116</v>
      </c>
      <c r="E155" s="63">
        <v>57</v>
      </c>
      <c r="F155" s="61">
        <v>2210</v>
      </c>
      <c r="G155" s="54"/>
    </row>
    <row r="156" spans="1:7" ht="16.5" customHeight="1">
      <c r="A156" s="24" t="s">
        <v>377</v>
      </c>
      <c r="B156" s="62" t="s">
        <v>271</v>
      </c>
      <c r="C156" s="62" t="s">
        <v>127</v>
      </c>
      <c r="D156" s="79" t="s">
        <v>116</v>
      </c>
      <c r="E156" s="63">
        <v>2.9</v>
      </c>
      <c r="F156" s="61">
        <v>2210</v>
      </c>
      <c r="G156" s="54"/>
    </row>
    <row r="157" spans="1:7" ht="16.5" customHeight="1">
      <c r="A157" s="24" t="s">
        <v>378</v>
      </c>
      <c r="B157" s="62" t="s">
        <v>271</v>
      </c>
      <c r="C157" s="62" t="s">
        <v>127</v>
      </c>
      <c r="D157" s="79" t="s">
        <v>116</v>
      </c>
      <c r="E157" s="63">
        <v>0.7</v>
      </c>
      <c r="F157" s="61">
        <v>2210</v>
      </c>
      <c r="G157" s="54"/>
    </row>
    <row r="158" spans="1:7" ht="16.5" customHeight="1">
      <c r="A158" s="24" t="s">
        <v>379</v>
      </c>
      <c r="B158" s="62" t="s">
        <v>271</v>
      </c>
      <c r="C158" s="62" t="s">
        <v>127</v>
      </c>
      <c r="D158" s="89" t="s">
        <v>116</v>
      </c>
      <c r="E158" s="63">
        <v>96.9</v>
      </c>
      <c r="F158" s="89">
        <v>2210</v>
      </c>
      <c r="G158" s="89"/>
    </row>
    <row r="159" spans="1:7" ht="16.5" customHeight="1">
      <c r="A159" s="24" t="s">
        <v>288</v>
      </c>
      <c r="B159" s="62" t="s">
        <v>271</v>
      </c>
      <c r="C159" s="62" t="s">
        <v>127</v>
      </c>
      <c r="D159" s="79" t="s">
        <v>116</v>
      </c>
      <c r="E159" s="63">
        <v>18.2</v>
      </c>
      <c r="F159" s="61">
        <v>2210</v>
      </c>
      <c r="G159" s="54"/>
    </row>
    <row r="160" spans="1:7" ht="16.5" customHeight="1">
      <c r="A160" s="24" t="s">
        <v>380</v>
      </c>
      <c r="B160" s="62" t="s">
        <v>271</v>
      </c>
      <c r="C160" s="62" t="s">
        <v>127</v>
      </c>
      <c r="D160" s="79" t="s">
        <v>116</v>
      </c>
      <c r="E160" s="63">
        <v>1.4</v>
      </c>
      <c r="F160" s="61">
        <v>2210</v>
      </c>
      <c r="G160" s="54"/>
    </row>
    <row r="161" spans="1:7" ht="16.5" customHeight="1">
      <c r="A161" s="24" t="s">
        <v>381</v>
      </c>
      <c r="B161" s="62" t="s">
        <v>271</v>
      </c>
      <c r="C161" s="62" t="s">
        <v>127</v>
      </c>
      <c r="D161" s="79" t="s">
        <v>116</v>
      </c>
      <c r="E161" s="63">
        <v>4.7</v>
      </c>
      <c r="F161" s="61">
        <v>2210</v>
      </c>
      <c r="G161" s="54"/>
    </row>
    <row r="162" spans="1:7" ht="16.5" customHeight="1">
      <c r="A162" s="24" t="s">
        <v>382</v>
      </c>
      <c r="B162" s="62" t="s">
        <v>271</v>
      </c>
      <c r="C162" s="62" t="s">
        <v>127</v>
      </c>
      <c r="D162" s="79" t="s">
        <v>116</v>
      </c>
      <c r="E162" s="63">
        <v>1.5</v>
      </c>
      <c r="F162" s="61">
        <v>2210</v>
      </c>
      <c r="G162" s="61"/>
    </row>
    <row r="163" spans="1:7" ht="16.5" customHeight="1">
      <c r="A163" s="24" t="s">
        <v>383</v>
      </c>
      <c r="B163" s="62" t="s">
        <v>271</v>
      </c>
      <c r="C163" s="62" t="s">
        <v>127</v>
      </c>
      <c r="D163" s="79" t="s">
        <v>116</v>
      </c>
      <c r="E163" s="63">
        <v>2.3</v>
      </c>
      <c r="F163" s="61">
        <v>2210</v>
      </c>
      <c r="G163" s="61"/>
    </row>
    <row r="164" spans="1:7" ht="16.5" customHeight="1">
      <c r="A164" s="24" t="s">
        <v>384</v>
      </c>
      <c r="B164" s="62" t="s">
        <v>271</v>
      </c>
      <c r="C164" s="62" t="s">
        <v>127</v>
      </c>
      <c r="D164" s="79" t="s">
        <v>116</v>
      </c>
      <c r="E164" s="63">
        <v>0</v>
      </c>
      <c r="F164" s="61">
        <v>2210</v>
      </c>
      <c r="G164" s="61"/>
    </row>
    <row r="165" spans="1:7" ht="16.5" customHeight="1">
      <c r="A165" s="24" t="s">
        <v>385</v>
      </c>
      <c r="B165" s="62" t="s">
        <v>271</v>
      </c>
      <c r="C165" s="62" t="s">
        <v>127</v>
      </c>
      <c r="D165" s="79" t="s">
        <v>116</v>
      </c>
      <c r="E165" s="63">
        <v>2.2</v>
      </c>
      <c r="F165" s="61">
        <v>2210</v>
      </c>
      <c r="G165" s="61"/>
    </row>
    <row r="166" spans="1:7" ht="16.5" customHeight="1">
      <c r="A166" s="24" t="s">
        <v>386</v>
      </c>
      <c r="B166" s="62" t="s">
        <v>271</v>
      </c>
      <c r="C166" s="62" t="s">
        <v>127</v>
      </c>
      <c r="D166" s="79" t="s">
        <v>116</v>
      </c>
      <c r="E166" s="63">
        <v>1.3</v>
      </c>
      <c r="F166" s="61">
        <v>2210</v>
      </c>
      <c r="G166" s="61"/>
    </row>
    <row r="167" spans="1:7" ht="16.5" customHeight="1">
      <c r="A167" s="24" t="s">
        <v>387</v>
      </c>
      <c r="B167" s="62" t="s">
        <v>271</v>
      </c>
      <c r="C167" s="62" t="s">
        <v>127</v>
      </c>
      <c r="D167" s="79" t="s">
        <v>116</v>
      </c>
      <c r="E167" s="63">
        <v>1.5</v>
      </c>
      <c r="F167" s="61">
        <v>2210</v>
      </c>
      <c r="G167" s="61"/>
    </row>
    <row r="168" spans="1:7" ht="16.5" customHeight="1">
      <c r="A168" s="24" t="s">
        <v>388</v>
      </c>
      <c r="B168" s="62" t="s">
        <v>271</v>
      </c>
      <c r="C168" s="62" t="s">
        <v>127</v>
      </c>
      <c r="D168" s="79" t="s">
        <v>116</v>
      </c>
      <c r="E168" s="63">
        <v>47.1</v>
      </c>
      <c r="F168" s="61">
        <v>2210</v>
      </c>
      <c r="G168" s="61"/>
    </row>
    <row r="169" spans="1:7" ht="16.5" customHeight="1">
      <c r="A169" s="24" t="s">
        <v>389</v>
      </c>
      <c r="B169" s="62" t="s">
        <v>271</v>
      </c>
      <c r="C169" s="62" t="s">
        <v>127</v>
      </c>
      <c r="D169" s="79" t="s">
        <v>116</v>
      </c>
      <c r="E169" s="63">
        <v>0.1</v>
      </c>
      <c r="F169" s="61">
        <v>2210</v>
      </c>
      <c r="G169" s="61"/>
    </row>
    <row r="170" spans="1:7" ht="16.5" customHeight="1">
      <c r="A170" s="24" t="s">
        <v>390</v>
      </c>
      <c r="B170" s="62" t="s">
        <v>271</v>
      </c>
      <c r="C170" s="62" t="s">
        <v>127</v>
      </c>
      <c r="D170" s="79" t="s">
        <v>116</v>
      </c>
      <c r="E170" s="63">
        <v>12.8</v>
      </c>
      <c r="F170" s="61">
        <v>2210</v>
      </c>
      <c r="G170" s="61"/>
    </row>
    <row r="171" spans="1:7" ht="16.5" customHeight="1">
      <c r="A171" s="24" t="s">
        <v>391</v>
      </c>
      <c r="B171" s="62" t="s">
        <v>271</v>
      </c>
      <c r="C171" s="62" t="s">
        <v>127</v>
      </c>
      <c r="D171" s="79" t="s">
        <v>116</v>
      </c>
      <c r="E171" s="63">
        <v>0.5</v>
      </c>
      <c r="F171" s="61">
        <v>2210</v>
      </c>
      <c r="G171" s="61"/>
    </row>
    <row r="172" spans="1:7" ht="16.5" customHeight="1">
      <c r="A172" s="24" t="s">
        <v>392</v>
      </c>
      <c r="B172" s="62" t="s">
        <v>271</v>
      </c>
      <c r="C172" s="62" t="s">
        <v>127</v>
      </c>
      <c r="D172" s="79" t="s">
        <v>116</v>
      </c>
      <c r="E172" s="63">
        <v>1</v>
      </c>
      <c r="F172" s="61">
        <v>2210</v>
      </c>
      <c r="G172" s="61"/>
    </row>
    <row r="173" spans="1:7" ht="16.5" customHeight="1">
      <c r="A173" s="24" t="s">
        <v>634</v>
      </c>
      <c r="B173" s="62" t="s">
        <v>271</v>
      </c>
      <c r="C173" s="62" t="s">
        <v>127</v>
      </c>
      <c r="D173" s="89" t="s">
        <v>116</v>
      </c>
      <c r="E173" s="63">
        <f>10.5+1.5</f>
        <v>12</v>
      </c>
      <c r="F173" s="89">
        <v>2210</v>
      </c>
      <c r="G173" s="89"/>
    </row>
    <row r="174" spans="1:7" ht="16.5" customHeight="1">
      <c r="A174" s="24" t="s">
        <v>546</v>
      </c>
      <c r="B174" s="62" t="s">
        <v>271</v>
      </c>
      <c r="C174" s="62" t="s">
        <v>127</v>
      </c>
      <c r="D174" s="89" t="s">
        <v>116</v>
      </c>
      <c r="E174" s="63">
        <v>1.7</v>
      </c>
      <c r="F174" s="89">
        <v>2210</v>
      </c>
      <c r="G174" s="89"/>
    </row>
    <row r="175" spans="1:7" ht="16.5" customHeight="1">
      <c r="A175" s="24" t="s">
        <v>393</v>
      </c>
      <c r="B175" s="62" t="s">
        <v>271</v>
      </c>
      <c r="C175" s="62" t="s">
        <v>127</v>
      </c>
      <c r="D175" s="79" t="s">
        <v>116</v>
      </c>
      <c r="E175" s="63">
        <v>17.6</v>
      </c>
      <c r="F175" s="61">
        <v>2210</v>
      </c>
      <c r="G175" s="61"/>
    </row>
    <row r="176" spans="1:7" ht="16.5" customHeight="1">
      <c r="A176" s="24" t="s">
        <v>394</v>
      </c>
      <c r="B176" s="62" t="s">
        <v>271</v>
      </c>
      <c r="C176" s="62" t="s">
        <v>127</v>
      </c>
      <c r="D176" s="79" t="s">
        <v>116</v>
      </c>
      <c r="E176" s="63">
        <v>22.2</v>
      </c>
      <c r="F176" s="61">
        <v>2210</v>
      </c>
      <c r="G176" s="61"/>
    </row>
    <row r="177" spans="1:7" ht="16.5" customHeight="1">
      <c r="A177" s="24" t="s">
        <v>395</v>
      </c>
      <c r="B177" s="62" t="s">
        <v>271</v>
      </c>
      <c r="C177" s="62" t="s">
        <v>127</v>
      </c>
      <c r="D177" s="79" t="s">
        <v>116</v>
      </c>
      <c r="E177" s="63">
        <v>1.7</v>
      </c>
      <c r="F177" s="61">
        <v>2210</v>
      </c>
      <c r="G177" s="61"/>
    </row>
    <row r="178" spans="1:7" ht="16.5" customHeight="1">
      <c r="A178" s="24" t="s">
        <v>396</v>
      </c>
      <c r="B178" s="62" t="s">
        <v>271</v>
      </c>
      <c r="C178" s="62" t="s">
        <v>127</v>
      </c>
      <c r="D178" s="79" t="s">
        <v>116</v>
      </c>
      <c r="E178" s="63">
        <v>1.6</v>
      </c>
      <c r="F178" s="61">
        <v>2210</v>
      </c>
      <c r="G178" s="61"/>
    </row>
    <row r="179" spans="1:7" ht="29.25" customHeight="1">
      <c r="A179" s="24" t="s">
        <v>397</v>
      </c>
      <c r="B179" s="62" t="s">
        <v>271</v>
      </c>
      <c r="C179" s="62" t="s">
        <v>127</v>
      </c>
      <c r="D179" s="79" t="s">
        <v>116</v>
      </c>
      <c r="E179" s="63">
        <v>15.3</v>
      </c>
      <c r="F179" s="61">
        <v>2210</v>
      </c>
      <c r="G179" s="61"/>
    </row>
    <row r="180" spans="1:7" ht="16.5" customHeight="1">
      <c r="A180" s="24" t="s">
        <v>398</v>
      </c>
      <c r="B180" s="62" t="s">
        <v>271</v>
      </c>
      <c r="C180" s="62" t="s">
        <v>127</v>
      </c>
      <c r="D180" s="79" t="s">
        <v>116</v>
      </c>
      <c r="E180" s="63">
        <v>5</v>
      </c>
      <c r="F180" s="61">
        <v>2210</v>
      </c>
      <c r="G180" s="61"/>
    </row>
    <row r="181" spans="1:7" ht="16.5" customHeight="1">
      <c r="A181" s="24" t="s">
        <v>399</v>
      </c>
      <c r="B181" s="62" t="s">
        <v>271</v>
      </c>
      <c r="C181" s="62" t="s">
        <v>127</v>
      </c>
      <c r="D181" s="79" t="s">
        <v>116</v>
      </c>
      <c r="E181" s="63">
        <v>1.5</v>
      </c>
      <c r="F181" s="61">
        <v>2210</v>
      </c>
      <c r="G181" s="61"/>
    </row>
    <row r="182" spans="1:7" ht="16.5" customHeight="1">
      <c r="A182" s="24" t="s">
        <v>400</v>
      </c>
      <c r="B182" s="62" t="s">
        <v>271</v>
      </c>
      <c r="C182" s="62" t="s">
        <v>127</v>
      </c>
      <c r="D182" s="79" t="s">
        <v>116</v>
      </c>
      <c r="E182" s="63">
        <v>1.6</v>
      </c>
      <c r="F182" s="61">
        <v>2210</v>
      </c>
      <c r="G182" s="61"/>
    </row>
    <row r="183" spans="1:7" ht="16.5" customHeight="1">
      <c r="A183" s="24" t="s">
        <v>383</v>
      </c>
      <c r="B183" s="62" t="s">
        <v>271</v>
      </c>
      <c r="C183" s="62" t="s">
        <v>127</v>
      </c>
      <c r="D183" s="79" t="s">
        <v>116</v>
      </c>
      <c r="E183" s="63">
        <v>3</v>
      </c>
      <c r="F183" s="61">
        <v>2210</v>
      </c>
      <c r="G183" s="61"/>
    </row>
    <row r="184" spans="1:7" ht="16.5" customHeight="1">
      <c r="A184" s="24" t="s">
        <v>401</v>
      </c>
      <c r="B184" s="62" t="s">
        <v>271</v>
      </c>
      <c r="C184" s="62" t="s">
        <v>127</v>
      </c>
      <c r="D184" s="79" t="s">
        <v>116</v>
      </c>
      <c r="E184" s="63">
        <v>1.2</v>
      </c>
      <c r="F184" s="61">
        <v>2210</v>
      </c>
      <c r="G184" s="61"/>
    </row>
    <row r="185" spans="1:7" ht="16.5" customHeight="1">
      <c r="A185" s="24" t="s">
        <v>402</v>
      </c>
      <c r="B185" s="62" t="s">
        <v>271</v>
      </c>
      <c r="C185" s="62" t="s">
        <v>127</v>
      </c>
      <c r="D185" s="79" t="s">
        <v>116</v>
      </c>
      <c r="E185" s="63">
        <v>27.5</v>
      </c>
      <c r="F185" s="61">
        <v>2210</v>
      </c>
      <c r="G185" s="61"/>
    </row>
    <row r="186" spans="1:7" ht="16.5" customHeight="1">
      <c r="A186" s="24" t="s">
        <v>403</v>
      </c>
      <c r="B186" s="62" t="s">
        <v>271</v>
      </c>
      <c r="C186" s="62" t="s">
        <v>127</v>
      </c>
      <c r="D186" s="79" t="s">
        <v>116</v>
      </c>
      <c r="E186" s="63">
        <f>41.5-40</f>
        <v>1.5</v>
      </c>
      <c r="F186" s="61">
        <v>2210</v>
      </c>
      <c r="G186" s="61"/>
    </row>
    <row r="187" spans="1:7" ht="16.5" customHeight="1">
      <c r="A187" s="24" t="s">
        <v>281</v>
      </c>
      <c r="B187" s="62" t="s">
        <v>271</v>
      </c>
      <c r="C187" s="62" t="s">
        <v>127</v>
      </c>
      <c r="D187" s="79" t="s">
        <v>116</v>
      </c>
      <c r="E187" s="63">
        <v>10</v>
      </c>
      <c r="F187" s="61">
        <v>2210</v>
      </c>
      <c r="G187" s="61"/>
    </row>
    <row r="188" spans="1:7" ht="16.5" customHeight="1">
      <c r="A188" s="24" t="s">
        <v>404</v>
      </c>
      <c r="B188" s="62" t="s">
        <v>271</v>
      </c>
      <c r="C188" s="62" t="s">
        <v>127</v>
      </c>
      <c r="D188" s="79" t="s">
        <v>116</v>
      </c>
      <c r="E188" s="63">
        <v>4.5</v>
      </c>
      <c r="F188" s="61">
        <v>2210</v>
      </c>
      <c r="G188" s="61"/>
    </row>
    <row r="189" spans="1:7" ht="16.5" customHeight="1">
      <c r="A189" s="24" t="s">
        <v>405</v>
      </c>
      <c r="B189" s="62" t="s">
        <v>271</v>
      </c>
      <c r="C189" s="62" t="s">
        <v>127</v>
      </c>
      <c r="D189" s="79" t="s">
        <v>116</v>
      </c>
      <c r="E189" s="63">
        <v>3.6</v>
      </c>
      <c r="F189" s="61">
        <v>2210</v>
      </c>
      <c r="G189" s="61"/>
    </row>
    <row r="190" spans="1:7" ht="16.5" customHeight="1">
      <c r="A190" s="24" t="s">
        <v>406</v>
      </c>
      <c r="B190" s="62" t="s">
        <v>271</v>
      </c>
      <c r="C190" s="62" t="s">
        <v>127</v>
      </c>
      <c r="D190" s="79" t="s">
        <v>116</v>
      </c>
      <c r="E190" s="63">
        <v>12</v>
      </c>
      <c r="F190" s="61">
        <v>2210</v>
      </c>
      <c r="G190" s="61"/>
    </row>
    <row r="191" spans="1:7" ht="16.5" customHeight="1">
      <c r="A191" s="24" t="s">
        <v>407</v>
      </c>
      <c r="B191" s="62" t="s">
        <v>271</v>
      </c>
      <c r="C191" s="62" t="s">
        <v>127</v>
      </c>
      <c r="D191" s="79" t="s">
        <v>116</v>
      </c>
      <c r="E191" s="63">
        <v>32</v>
      </c>
      <c r="F191" s="61">
        <v>2210</v>
      </c>
      <c r="G191" s="61"/>
    </row>
    <row r="192" spans="1:7" ht="27" customHeight="1">
      <c r="A192" s="24" t="s">
        <v>408</v>
      </c>
      <c r="B192" s="62" t="s">
        <v>271</v>
      </c>
      <c r="C192" s="62" t="s">
        <v>127</v>
      </c>
      <c r="D192" s="79" t="s">
        <v>116</v>
      </c>
      <c r="E192" s="63">
        <v>12.3</v>
      </c>
      <c r="F192" s="61">
        <v>2210</v>
      </c>
      <c r="G192" s="61"/>
    </row>
    <row r="193" spans="1:7" ht="25.5" customHeight="1">
      <c r="A193" s="24" t="s">
        <v>409</v>
      </c>
      <c r="B193" s="62" t="s">
        <v>271</v>
      </c>
      <c r="C193" s="62" t="s">
        <v>127</v>
      </c>
      <c r="D193" s="79" t="s">
        <v>116</v>
      </c>
      <c r="E193" s="63">
        <v>4.1</v>
      </c>
      <c r="F193" s="61">
        <v>2210</v>
      </c>
      <c r="G193" s="61"/>
    </row>
    <row r="194" spans="1:7" ht="16.5" customHeight="1">
      <c r="A194" s="24" t="s">
        <v>446</v>
      </c>
      <c r="B194" s="62" t="s">
        <v>271</v>
      </c>
      <c r="C194" s="62" t="s">
        <v>127</v>
      </c>
      <c r="D194" s="89" t="s">
        <v>116</v>
      </c>
      <c r="E194" s="63">
        <v>0</v>
      </c>
      <c r="F194" s="89">
        <v>2210</v>
      </c>
      <c r="G194" s="89"/>
    </row>
    <row r="195" spans="1:7" ht="16.5" customHeight="1">
      <c r="A195" s="24" t="s">
        <v>411</v>
      </c>
      <c r="B195" s="62" t="s">
        <v>271</v>
      </c>
      <c r="C195" s="62" t="s">
        <v>127</v>
      </c>
      <c r="D195" s="79" t="s">
        <v>116</v>
      </c>
      <c r="E195" s="63">
        <v>2</v>
      </c>
      <c r="F195" s="61">
        <v>2210</v>
      </c>
      <c r="G195" s="61"/>
    </row>
    <row r="196" spans="1:7" ht="16.5" customHeight="1">
      <c r="A196" s="24" t="s">
        <v>412</v>
      </c>
      <c r="B196" s="62" t="s">
        <v>271</v>
      </c>
      <c r="C196" s="62" t="s">
        <v>127</v>
      </c>
      <c r="D196" s="80" t="s">
        <v>116</v>
      </c>
      <c r="E196" s="63">
        <v>0</v>
      </c>
      <c r="F196" s="80">
        <v>2210</v>
      </c>
      <c r="G196" s="80"/>
    </row>
    <row r="197" spans="1:7" ht="16.5" customHeight="1">
      <c r="A197" s="24" t="s">
        <v>313</v>
      </c>
      <c r="B197" s="62" t="s">
        <v>271</v>
      </c>
      <c r="C197" s="62" t="s">
        <v>127</v>
      </c>
      <c r="D197" s="80" t="s">
        <v>116</v>
      </c>
      <c r="E197" s="63">
        <v>0</v>
      </c>
      <c r="F197" s="80">
        <v>2210</v>
      </c>
      <c r="G197" s="80"/>
    </row>
    <row r="198" spans="1:7" ht="16.5" customHeight="1">
      <c r="A198" s="24" t="s">
        <v>413</v>
      </c>
      <c r="B198" s="62" t="s">
        <v>271</v>
      </c>
      <c r="C198" s="62" t="s">
        <v>127</v>
      </c>
      <c r="D198" s="79" t="s">
        <v>116</v>
      </c>
      <c r="E198" s="63">
        <v>0.5</v>
      </c>
      <c r="F198" s="61">
        <v>2210</v>
      </c>
      <c r="G198" s="61"/>
    </row>
    <row r="199" spans="1:7" ht="25.5" customHeight="1">
      <c r="A199" s="90" t="s">
        <v>545</v>
      </c>
      <c r="B199" s="91" t="s">
        <v>271</v>
      </c>
      <c r="C199" s="91" t="s">
        <v>127</v>
      </c>
      <c r="D199" s="92" t="s">
        <v>116</v>
      </c>
      <c r="E199" s="93">
        <v>109</v>
      </c>
      <c r="F199" s="92">
        <v>2210</v>
      </c>
      <c r="G199" s="92"/>
    </row>
    <row r="200" spans="1:7" ht="14.25" customHeight="1">
      <c r="A200" s="24" t="s">
        <v>384</v>
      </c>
      <c r="B200" s="62" t="s">
        <v>271</v>
      </c>
      <c r="C200" s="62" t="s">
        <v>127</v>
      </c>
      <c r="D200" s="124" t="s">
        <v>116</v>
      </c>
      <c r="E200" s="63">
        <v>0.7</v>
      </c>
      <c r="F200" s="124">
        <v>2210</v>
      </c>
      <c r="G200" s="124"/>
    </row>
    <row r="201" spans="1:7" ht="14.25" customHeight="1" thickBot="1">
      <c r="A201" s="33" t="s">
        <v>661</v>
      </c>
      <c r="B201" s="134" t="s">
        <v>271</v>
      </c>
      <c r="C201" s="134" t="s">
        <v>127</v>
      </c>
      <c r="D201" s="133" t="s">
        <v>116</v>
      </c>
      <c r="E201" s="114">
        <v>40</v>
      </c>
      <c r="F201" s="133">
        <v>2210</v>
      </c>
      <c r="G201" s="133"/>
    </row>
    <row r="202" spans="1:7" ht="16.5" customHeight="1" thickBot="1">
      <c r="A202" s="203" t="s">
        <v>414</v>
      </c>
      <c r="B202" s="204"/>
      <c r="C202" s="204"/>
      <c r="D202" s="205"/>
      <c r="E202" s="47">
        <f>SUM(E149:E201)</f>
        <v>716.4000000000001</v>
      </c>
      <c r="F202" s="48"/>
      <c r="G202" s="49"/>
    </row>
    <row r="203" spans="1:7" ht="16.5" customHeight="1" thickBot="1">
      <c r="A203" s="209" t="s">
        <v>415</v>
      </c>
      <c r="B203" s="210"/>
      <c r="C203" s="210"/>
      <c r="D203" s="211"/>
      <c r="E203" s="68">
        <f>E148+E202</f>
        <v>1734.1000000000004</v>
      </c>
      <c r="F203" s="48"/>
      <c r="G203" s="49"/>
    </row>
    <row r="204" spans="1:7" ht="16.5" customHeight="1">
      <c r="A204" s="24" t="s">
        <v>316</v>
      </c>
      <c r="B204" s="62" t="s">
        <v>159</v>
      </c>
      <c r="C204" s="62" t="s">
        <v>127</v>
      </c>
      <c r="D204" s="79" t="s">
        <v>116</v>
      </c>
      <c r="E204" s="63">
        <v>68.1</v>
      </c>
      <c r="F204" s="54">
        <v>2220</v>
      </c>
      <c r="G204" s="54"/>
    </row>
    <row r="205" spans="1:7" ht="27.75" customHeight="1" thickBot="1">
      <c r="A205" s="24" t="s">
        <v>317</v>
      </c>
      <c r="B205" s="62" t="s">
        <v>159</v>
      </c>
      <c r="C205" s="62" t="s">
        <v>127</v>
      </c>
      <c r="D205" s="79" t="s">
        <v>116</v>
      </c>
      <c r="E205" s="63">
        <v>31.2</v>
      </c>
      <c r="F205" s="54">
        <v>2220</v>
      </c>
      <c r="G205" s="54"/>
    </row>
    <row r="206" spans="1:7" ht="16.5" customHeight="1" thickBot="1">
      <c r="A206" s="203" t="s">
        <v>318</v>
      </c>
      <c r="B206" s="204"/>
      <c r="C206" s="204"/>
      <c r="D206" s="205"/>
      <c r="E206" s="47">
        <f>SUM(E204:E205)</f>
        <v>99.3</v>
      </c>
      <c r="F206" s="48"/>
      <c r="G206" s="49"/>
    </row>
    <row r="207" spans="1:7" ht="29.25" customHeight="1">
      <c r="A207" s="24" t="s">
        <v>630</v>
      </c>
      <c r="B207" s="62" t="s">
        <v>159</v>
      </c>
      <c r="C207" s="62" t="s">
        <v>127</v>
      </c>
      <c r="D207" s="79" t="s">
        <v>116</v>
      </c>
      <c r="E207" s="63">
        <f>35.9+0.4-5.7+0.1+1.6+0.1+1.5+0.2+0.1+0.1</f>
        <v>34.300000000000004</v>
      </c>
      <c r="F207" s="54">
        <v>2240</v>
      </c>
      <c r="G207" s="54"/>
    </row>
    <row r="208" spans="1:7" ht="30.75" customHeight="1">
      <c r="A208" s="24" t="s">
        <v>629</v>
      </c>
      <c r="B208" s="62" t="s">
        <v>159</v>
      </c>
      <c r="C208" s="62" t="s">
        <v>127</v>
      </c>
      <c r="D208" s="79" t="s">
        <v>116</v>
      </c>
      <c r="E208" s="63">
        <v>70.8</v>
      </c>
      <c r="F208" s="54">
        <v>2240</v>
      </c>
      <c r="G208" s="54"/>
    </row>
    <row r="209" spans="1:7" ht="47.25" customHeight="1">
      <c r="A209" s="38" t="s">
        <v>169</v>
      </c>
      <c r="B209" s="34" t="s">
        <v>159</v>
      </c>
      <c r="C209" s="34" t="s">
        <v>127</v>
      </c>
      <c r="D209" s="34" t="s">
        <v>116</v>
      </c>
      <c r="E209" s="35">
        <f>1.2-1.2</f>
        <v>0</v>
      </c>
      <c r="F209" s="36">
        <v>2240</v>
      </c>
      <c r="G209" s="89"/>
    </row>
    <row r="210" spans="1:7" ht="55.5" customHeight="1">
      <c r="A210" s="33" t="s">
        <v>170</v>
      </c>
      <c r="B210" s="30" t="s">
        <v>159</v>
      </c>
      <c r="C210" s="30" t="s">
        <v>127</v>
      </c>
      <c r="D210" s="30" t="s">
        <v>116</v>
      </c>
      <c r="E210" s="31">
        <v>0.8</v>
      </c>
      <c r="F210" s="32">
        <v>2240</v>
      </c>
      <c r="G210" s="89"/>
    </row>
    <row r="211" spans="1:7" ht="16.5" customHeight="1">
      <c r="A211" s="24" t="s">
        <v>319</v>
      </c>
      <c r="B211" s="62" t="s">
        <v>159</v>
      </c>
      <c r="C211" s="62" t="s">
        <v>127</v>
      </c>
      <c r="D211" s="79" t="s">
        <v>116</v>
      </c>
      <c r="E211" s="63">
        <f>1.8+0.2</f>
        <v>2</v>
      </c>
      <c r="F211" s="54">
        <v>2240</v>
      </c>
      <c r="G211" s="54"/>
    </row>
    <row r="212" spans="1:7" ht="16.5" customHeight="1">
      <c r="A212" s="24" t="s">
        <v>320</v>
      </c>
      <c r="B212" s="62" t="s">
        <v>159</v>
      </c>
      <c r="C212" s="62" t="s">
        <v>127</v>
      </c>
      <c r="D212" s="79" t="s">
        <v>116</v>
      </c>
      <c r="E212" s="63">
        <f>107.5+0.5-0.1-50-0.3+22.4-1.9-0.5-0.6+1.3+0.2+10+2-0.4-0.3+0.1+0.3+13.2+0.4-1.7-2.6-0.1-0.6-0.2-0.1+0.4</f>
        <v>98.90000000000002</v>
      </c>
      <c r="F212" s="54">
        <v>2240</v>
      </c>
      <c r="G212" s="54"/>
    </row>
    <row r="213" spans="1:7" ht="25.5" customHeight="1">
      <c r="A213" s="24" t="s">
        <v>321</v>
      </c>
      <c r="B213" s="62" t="s">
        <v>159</v>
      </c>
      <c r="C213" s="62" t="s">
        <v>127</v>
      </c>
      <c r="D213" s="79" t="s">
        <v>116</v>
      </c>
      <c r="E213" s="63">
        <v>64</v>
      </c>
      <c r="F213" s="54">
        <v>2240</v>
      </c>
      <c r="G213" s="54"/>
    </row>
    <row r="214" spans="1:7" ht="16.5" customHeight="1">
      <c r="A214" s="24" t="s">
        <v>322</v>
      </c>
      <c r="B214" s="62" t="s">
        <v>159</v>
      </c>
      <c r="C214" s="62" t="s">
        <v>127</v>
      </c>
      <c r="D214" s="79" t="s">
        <v>116</v>
      </c>
      <c r="E214" s="63">
        <v>0.3</v>
      </c>
      <c r="F214" s="54">
        <v>2240</v>
      </c>
      <c r="G214" s="54"/>
    </row>
    <row r="215" spans="1:7" ht="16.5" customHeight="1">
      <c r="A215" s="24" t="s">
        <v>323</v>
      </c>
      <c r="B215" s="62" t="s">
        <v>159</v>
      </c>
      <c r="C215" s="62" t="s">
        <v>127</v>
      </c>
      <c r="D215" s="79" t="s">
        <v>116</v>
      </c>
      <c r="E215" s="63">
        <v>18.9</v>
      </c>
      <c r="F215" s="54">
        <v>2240</v>
      </c>
      <c r="G215" s="54"/>
    </row>
    <row r="216" spans="1:7" ht="28.5" customHeight="1">
      <c r="A216" s="24" t="s">
        <v>324</v>
      </c>
      <c r="B216" s="62" t="s">
        <v>159</v>
      </c>
      <c r="C216" s="62" t="s">
        <v>127</v>
      </c>
      <c r="D216" s="79" t="s">
        <v>116</v>
      </c>
      <c r="E216" s="63">
        <f>5.3+0.2</f>
        <v>5.5</v>
      </c>
      <c r="F216" s="54">
        <v>2240</v>
      </c>
      <c r="G216" s="54"/>
    </row>
    <row r="217" spans="1:7" ht="27.75" customHeight="1">
      <c r="A217" s="24" t="s">
        <v>325</v>
      </c>
      <c r="B217" s="62" t="s">
        <v>159</v>
      </c>
      <c r="C217" s="62" t="s">
        <v>127</v>
      </c>
      <c r="D217" s="79" t="s">
        <v>116</v>
      </c>
      <c r="E217" s="63">
        <v>1.4</v>
      </c>
      <c r="F217" s="54">
        <v>2240</v>
      </c>
      <c r="G217" s="54"/>
    </row>
    <row r="218" spans="1:7" ht="16.5" customHeight="1">
      <c r="A218" s="24" t="s">
        <v>326</v>
      </c>
      <c r="B218" s="62" t="s">
        <v>159</v>
      </c>
      <c r="C218" s="62" t="s">
        <v>127</v>
      </c>
      <c r="D218" s="79" t="s">
        <v>116</v>
      </c>
      <c r="E218" s="63">
        <v>2</v>
      </c>
      <c r="F218" s="54">
        <v>2240</v>
      </c>
      <c r="G218" s="54"/>
    </row>
    <row r="219" spans="1:7" ht="29.25" customHeight="1">
      <c r="A219" s="24" t="s">
        <v>327</v>
      </c>
      <c r="B219" s="62" t="s">
        <v>159</v>
      </c>
      <c r="C219" s="62" t="s">
        <v>127</v>
      </c>
      <c r="D219" s="79" t="s">
        <v>116</v>
      </c>
      <c r="E219" s="63">
        <v>21</v>
      </c>
      <c r="F219" s="54">
        <v>2240</v>
      </c>
      <c r="G219" s="54"/>
    </row>
    <row r="220" spans="1:7" ht="16.5" customHeight="1">
      <c r="A220" s="24" t="s">
        <v>328</v>
      </c>
      <c r="B220" s="62" t="s">
        <v>159</v>
      </c>
      <c r="C220" s="62" t="s">
        <v>127</v>
      </c>
      <c r="D220" s="79" t="s">
        <v>116</v>
      </c>
      <c r="E220" s="63">
        <f>0.3+0.1</f>
        <v>0.4</v>
      </c>
      <c r="F220" s="54">
        <v>2240</v>
      </c>
      <c r="G220" s="54"/>
    </row>
    <row r="221" spans="1:7" ht="16.5" customHeight="1">
      <c r="A221" s="24" t="s">
        <v>329</v>
      </c>
      <c r="B221" s="62" t="s">
        <v>159</v>
      </c>
      <c r="C221" s="62" t="s">
        <v>127</v>
      </c>
      <c r="D221" s="79" t="s">
        <v>116</v>
      </c>
      <c r="E221" s="63">
        <f>30+28.1+5-6.5+3.5+9.3+0.6+0.1-0.5</f>
        <v>69.6</v>
      </c>
      <c r="F221" s="54">
        <v>2240</v>
      </c>
      <c r="G221" s="54"/>
    </row>
    <row r="222" spans="1:7" ht="30.75" customHeight="1">
      <c r="A222" s="24" t="s">
        <v>330</v>
      </c>
      <c r="B222" s="62" t="s">
        <v>159</v>
      </c>
      <c r="C222" s="62" t="s">
        <v>127</v>
      </c>
      <c r="D222" s="79" t="s">
        <v>116</v>
      </c>
      <c r="E222" s="63">
        <v>11.8</v>
      </c>
      <c r="F222" s="54">
        <v>2240</v>
      </c>
      <c r="G222" s="54"/>
    </row>
    <row r="223" spans="1:7" ht="15.75" customHeight="1">
      <c r="A223" s="24" t="s">
        <v>331</v>
      </c>
      <c r="B223" s="62" t="s">
        <v>159</v>
      </c>
      <c r="C223" s="62" t="s">
        <v>127</v>
      </c>
      <c r="D223" s="79" t="s">
        <v>116</v>
      </c>
      <c r="E223" s="63">
        <f>37.9-15.2-22.7</f>
        <v>0</v>
      </c>
      <c r="F223" s="54">
        <v>2240</v>
      </c>
      <c r="G223" s="54"/>
    </row>
    <row r="224" spans="1:7" ht="26.25" customHeight="1">
      <c r="A224" s="24" t="s">
        <v>332</v>
      </c>
      <c r="B224" s="62" t="s">
        <v>159</v>
      </c>
      <c r="C224" s="62" t="s">
        <v>127</v>
      </c>
      <c r="D224" s="79" t="s">
        <v>116</v>
      </c>
      <c r="E224" s="63">
        <f>3-3</f>
        <v>0</v>
      </c>
      <c r="F224" s="54">
        <v>2240</v>
      </c>
      <c r="G224" s="54"/>
    </row>
    <row r="225" spans="1:7" ht="16.5" customHeight="1">
      <c r="A225" s="24" t="s">
        <v>333</v>
      </c>
      <c r="B225" s="62" t="s">
        <v>159</v>
      </c>
      <c r="C225" s="62" t="s">
        <v>127</v>
      </c>
      <c r="D225" s="79" t="s">
        <v>116</v>
      </c>
      <c r="E225" s="63">
        <f>12.3-0.2+1-0.2</f>
        <v>12.900000000000002</v>
      </c>
      <c r="F225" s="54">
        <v>2240</v>
      </c>
      <c r="G225" s="54"/>
    </row>
    <row r="226" spans="1:7" ht="16.5" customHeight="1">
      <c r="A226" s="24" t="s">
        <v>334</v>
      </c>
      <c r="B226" s="62" t="s">
        <v>159</v>
      </c>
      <c r="C226" s="62" t="s">
        <v>127</v>
      </c>
      <c r="D226" s="79" t="s">
        <v>116</v>
      </c>
      <c r="E226" s="63">
        <f>14-0.4-1+5</f>
        <v>17.6</v>
      </c>
      <c r="F226" s="54">
        <v>2240</v>
      </c>
      <c r="G226" s="54"/>
    </row>
    <row r="227" spans="1:7" ht="31.5" customHeight="1">
      <c r="A227" s="24" t="s">
        <v>335</v>
      </c>
      <c r="B227" s="62" t="s">
        <v>159</v>
      </c>
      <c r="C227" s="62" t="s">
        <v>127</v>
      </c>
      <c r="D227" s="79" t="s">
        <v>116</v>
      </c>
      <c r="E227" s="63">
        <v>1</v>
      </c>
      <c r="F227" s="54">
        <v>2240</v>
      </c>
      <c r="G227" s="54"/>
    </row>
    <row r="228" spans="1:7" ht="16.5" customHeight="1">
      <c r="A228" s="24" t="s">
        <v>336</v>
      </c>
      <c r="B228" s="62" t="s">
        <v>159</v>
      </c>
      <c r="C228" s="62" t="s">
        <v>127</v>
      </c>
      <c r="D228" s="79" t="s">
        <v>116</v>
      </c>
      <c r="E228" s="63">
        <v>8.2</v>
      </c>
      <c r="F228" s="54">
        <v>2240</v>
      </c>
      <c r="G228" s="54"/>
    </row>
    <row r="229" spans="1:7" ht="25.5" customHeight="1">
      <c r="A229" s="24" t="s">
        <v>337</v>
      </c>
      <c r="B229" s="62" t="s">
        <v>159</v>
      </c>
      <c r="C229" s="62" t="s">
        <v>127</v>
      </c>
      <c r="D229" s="79" t="s">
        <v>116</v>
      </c>
      <c r="E229" s="63">
        <v>4.8</v>
      </c>
      <c r="F229" s="54">
        <v>2240</v>
      </c>
      <c r="G229" s="54"/>
    </row>
    <row r="230" spans="1:7" ht="16.5" customHeight="1">
      <c r="A230" s="24" t="s">
        <v>338</v>
      </c>
      <c r="B230" s="62" t="s">
        <v>159</v>
      </c>
      <c r="C230" s="62" t="s">
        <v>127</v>
      </c>
      <c r="D230" s="79" t="s">
        <v>116</v>
      </c>
      <c r="E230" s="63">
        <v>7.3</v>
      </c>
      <c r="F230" s="54">
        <v>2240</v>
      </c>
      <c r="G230" s="54"/>
    </row>
    <row r="231" spans="1:7" ht="16.5" customHeight="1">
      <c r="A231" s="24" t="s">
        <v>339</v>
      </c>
      <c r="B231" s="62" t="s">
        <v>159</v>
      </c>
      <c r="C231" s="62" t="s">
        <v>127</v>
      </c>
      <c r="D231" s="79" t="s">
        <v>116</v>
      </c>
      <c r="E231" s="63">
        <v>4.2</v>
      </c>
      <c r="F231" s="54">
        <v>2240</v>
      </c>
      <c r="G231" s="54"/>
    </row>
    <row r="232" spans="1:7" ht="16.5" customHeight="1">
      <c r="A232" s="24" t="s">
        <v>340</v>
      </c>
      <c r="B232" s="62" t="s">
        <v>159</v>
      </c>
      <c r="C232" s="62" t="s">
        <v>127</v>
      </c>
      <c r="D232" s="79" t="s">
        <v>116</v>
      </c>
      <c r="E232" s="63">
        <f>18+5</f>
        <v>23</v>
      </c>
      <c r="F232" s="54">
        <v>2240</v>
      </c>
      <c r="G232" s="54"/>
    </row>
    <row r="233" spans="1:7" ht="24.75" customHeight="1">
      <c r="A233" s="24" t="s">
        <v>341</v>
      </c>
      <c r="B233" s="62" t="s">
        <v>159</v>
      </c>
      <c r="C233" s="62" t="s">
        <v>127</v>
      </c>
      <c r="D233" s="79" t="s">
        <v>116</v>
      </c>
      <c r="E233" s="63">
        <f>6.7+1.7-4.5</f>
        <v>3.9000000000000004</v>
      </c>
      <c r="F233" s="54">
        <v>2240</v>
      </c>
      <c r="G233" s="54"/>
    </row>
    <row r="234" spans="1:7" ht="16.5" customHeight="1">
      <c r="A234" s="24" t="s">
        <v>342</v>
      </c>
      <c r="B234" s="62" t="s">
        <v>159</v>
      </c>
      <c r="C234" s="62" t="s">
        <v>127</v>
      </c>
      <c r="D234" s="79" t="s">
        <v>116</v>
      </c>
      <c r="E234" s="63">
        <f>5.2-0.4</f>
        <v>4.8</v>
      </c>
      <c r="F234" s="54">
        <v>2240</v>
      </c>
      <c r="G234" s="54"/>
    </row>
    <row r="235" spans="1:7" ht="16.5" customHeight="1">
      <c r="A235" s="24" t="s">
        <v>343</v>
      </c>
      <c r="B235" s="62" t="s">
        <v>159</v>
      </c>
      <c r="C235" s="62" t="s">
        <v>127</v>
      </c>
      <c r="D235" s="79" t="s">
        <v>116</v>
      </c>
      <c r="E235" s="63">
        <v>0</v>
      </c>
      <c r="F235" s="54">
        <v>2240</v>
      </c>
      <c r="G235" s="54"/>
    </row>
    <row r="236" spans="1:7" ht="16.5" customHeight="1">
      <c r="A236" s="24" t="s">
        <v>344</v>
      </c>
      <c r="B236" s="62" t="s">
        <v>159</v>
      </c>
      <c r="C236" s="62" t="s">
        <v>127</v>
      </c>
      <c r="D236" s="79" t="s">
        <v>116</v>
      </c>
      <c r="E236" s="63">
        <f>7.2+6+0.2</f>
        <v>13.399999999999999</v>
      </c>
      <c r="F236" s="54">
        <v>2240</v>
      </c>
      <c r="G236" s="54"/>
    </row>
    <row r="237" spans="1:7" ht="16.5" customHeight="1">
      <c r="A237" s="24" t="s">
        <v>345</v>
      </c>
      <c r="B237" s="62" t="s">
        <v>159</v>
      </c>
      <c r="C237" s="62" t="s">
        <v>127</v>
      </c>
      <c r="D237" s="79" t="s">
        <v>116</v>
      </c>
      <c r="E237" s="63">
        <f>21.3-0.1-0.3-1.8</f>
        <v>19.099999999999998</v>
      </c>
      <c r="F237" s="54">
        <v>2240</v>
      </c>
      <c r="G237" s="54"/>
    </row>
    <row r="238" spans="1:7" ht="16.5" customHeight="1">
      <c r="A238" s="24" t="s">
        <v>346</v>
      </c>
      <c r="B238" s="62" t="s">
        <v>159</v>
      </c>
      <c r="C238" s="62" t="s">
        <v>127</v>
      </c>
      <c r="D238" s="79" t="s">
        <v>116</v>
      </c>
      <c r="E238" s="63">
        <f>50.4-0.1</f>
        <v>50.3</v>
      </c>
      <c r="F238" s="54">
        <v>2240</v>
      </c>
      <c r="G238" s="54"/>
    </row>
    <row r="239" spans="1:7" ht="16.5" customHeight="1">
      <c r="A239" s="24" t="s">
        <v>347</v>
      </c>
      <c r="B239" s="62" t="s">
        <v>159</v>
      </c>
      <c r="C239" s="62" t="s">
        <v>127</v>
      </c>
      <c r="D239" s="79" t="s">
        <v>116</v>
      </c>
      <c r="E239" s="63">
        <v>11.1</v>
      </c>
      <c r="F239" s="54">
        <v>2240</v>
      </c>
      <c r="G239" s="54"/>
    </row>
    <row r="240" spans="1:7" ht="16.5" customHeight="1">
      <c r="A240" s="24" t="s">
        <v>348</v>
      </c>
      <c r="B240" s="62" t="s">
        <v>159</v>
      </c>
      <c r="C240" s="62" t="s">
        <v>127</v>
      </c>
      <c r="D240" s="79" t="s">
        <v>116</v>
      </c>
      <c r="E240" s="63">
        <v>14.5</v>
      </c>
      <c r="F240" s="54">
        <v>2240</v>
      </c>
      <c r="G240" s="54"/>
    </row>
    <row r="241" spans="1:7" ht="27" customHeight="1">
      <c r="A241" s="24" t="s">
        <v>349</v>
      </c>
      <c r="B241" s="62" t="s">
        <v>159</v>
      </c>
      <c r="C241" s="62" t="s">
        <v>127</v>
      </c>
      <c r="D241" s="79" t="s">
        <v>116</v>
      </c>
      <c r="E241" s="63">
        <v>2.9</v>
      </c>
      <c r="F241" s="54">
        <v>2240</v>
      </c>
      <c r="G241" s="54"/>
    </row>
    <row r="242" spans="1:7" ht="30" customHeight="1">
      <c r="A242" s="24" t="s">
        <v>350</v>
      </c>
      <c r="B242" s="62" t="s">
        <v>159</v>
      </c>
      <c r="C242" s="62" t="s">
        <v>127</v>
      </c>
      <c r="D242" s="79" t="s">
        <v>116</v>
      </c>
      <c r="E242" s="63">
        <v>2.6</v>
      </c>
      <c r="F242" s="54">
        <v>2240</v>
      </c>
      <c r="G242" s="54"/>
    </row>
    <row r="243" spans="1:7" ht="30" customHeight="1">
      <c r="A243" s="24" t="s">
        <v>351</v>
      </c>
      <c r="B243" s="62" t="s">
        <v>159</v>
      </c>
      <c r="C243" s="62" t="s">
        <v>127</v>
      </c>
      <c r="D243" s="79" t="s">
        <v>116</v>
      </c>
      <c r="E243" s="63">
        <f>97.7-22.4+1.9+0.6</f>
        <v>77.80000000000001</v>
      </c>
      <c r="F243" s="54">
        <v>2240</v>
      </c>
      <c r="G243" s="54"/>
    </row>
    <row r="244" spans="1:7" ht="16.5" customHeight="1">
      <c r="A244" s="24" t="s">
        <v>352</v>
      </c>
      <c r="B244" s="62" t="s">
        <v>159</v>
      </c>
      <c r="C244" s="62" t="s">
        <v>127</v>
      </c>
      <c r="D244" s="79" t="s">
        <v>116</v>
      </c>
      <c r="E244" s="63">
        <v>0.2</v>
      </c>
      <c r="F244" s="54">
        <v>2240</v>
      </c>
      <c r="G244" s="54"/>
    </row>
    <row r="245" spans="1:7" ht="16.5" customHeight="1">
      <c r="A245" s="24" t="s">
        <v>353</v>
      </c>
      <c r="B245" s="62" t="s">
        <v>159</v>
      </c>
      <c r="C245" s="62" t="s">
        <v>127</v>
      </c>
      <c r="D245" s="79" t="s">
        <v>116</v>
      </c>
      <c r="E245" s="63">
        <f>1.6+0.3+0.1</f>
        <v>2</v>
      </c>
      <c r="F245" s="54">
        <v>2240</v>
      </c>
      <c r="G245" s="54"/>
    </row>
    <row r="246" spans="1:7" ht="16.5" customHeight="1">
      <c r="A246" s="24" t="s">
        <v>354</v>
      </c>
      <c r="B246" s="62" t="s">
        <v>159</v>
      </c>
      <c r="C246" s="62" t="s">
        <v>127</v>
      </c>
      <c r="D246" s="79" t="s">
        <v>116</v>
      </c>
      <c r="E246" s="63">
        <v>0.4</v>
      </c>
      <c r="F246" s="54">
        <v>2240</v>
      </c>
      <c r="G246" s="54"/>
    </row>
    <row r="247" spans="1:7" ht="16.5" customHeight="1">
      <c r="A247" s="24" t="s">
        <v>355</v>
      </c>
      <c r="B247" s="62" t="s">
        <v>159</v>
      </c>
      <c r="C247" s="62" t="s">
        <v>127</v>
      </c>
      <c r="D247" s="79" t="s">
        <v>116</v>
      </c>
      <c r="E247" s="63">
        <v>0</v>
      </c>
      <c r="F247" s="54">
        <v>2240</v>
      </c>
      <c r="G247" s="54"/>
    </row>
    <row r="248" spans="1:7" ht="71.25" customHeight="1">
      <c r="A248" s="24" t="s">
        <v>356</v>
      </c>
      <c r="B248" s="62" t="s">
        <v>159</v>
      </c>
      <c r="C248" s="62" t="s">
        <v>127</v>
      </c>
      <c r="D248" s="79" t="s">
        <v>116</v>
      </c>
      <c r="E248" s="63">
        <v>20</v>
      </c>
      <c r="F248" s="54">
        <v>2240</v>
      </c>
      <c r="G248" s="54"/>
    </row>
    <row r="249" spans="1:7" ht="29.25" customHeight="1">
      <c r="A249" s="24" t="s">
        <v>357</v>
      </c>
      <c r="B249" s="62" t="s">
        <v>159</v>
      </c>
      <c r="C249" s="62" t="s">
        <v>127</v>
      </c>
      <c r="D249" s="79" t="s">
        <v>116</v>
      </c>
      <c r="E249" s="63">
        <f>16+3</f>
        <v>19</v>
      </c>
      <c r="F249" s="54">
        <v>2240</v>
      </c>
      <c r="G249" s="54"/>
    </row>
    <row r="250" spans="1:7" ht="16.5" customHeight="1">
      <c r="A250" s="24" t="s">
        <v>358</v>
      </c>
      <c r="B250" s="62" t="s">
        <v>159</v>
      </c>
      <c r="C250" s="62" t="s">
        <v>127</v>
      </c>
      <c r="D250" s="79" t="s">
        <v>116</v>
      </c>
      <c r="E250" s="63">
        <f>99.9-4.9</f>
        <v>95</v>
      </c>
      <c r="F250" s="54">
        <v>2240</v>
      </c>
      <c r="G250" s="54"/>
    </row>
    <row r="251" spans="1:7" ht="16.5" customHeight="1">
      <c r="A251" s="24" t="s">
        <v>359</v>
      </c>
      <c r="B251" s="62" t="s">
        <v>159</v>
      </c>
      <c r="C251" s="62" t="s">
        <v>127</v>
      </c>
      <c r="D251" s="79" t="s">
        <v>116</v>
      </c>
      <c r="E251" s="63">
        <v>1</v>
      </c>
      <c r="F251" s="54">
        <v>2240</v>
      </c>
      <c r="G251" s="54"/>
    </row>
    <row r="252" spans="1:7" ht="16.5" customHeight="1">
      <c r="A252" s="24" t="s">
        <v>360</v>
      </c>
      <c r="B252" s="62" t="s">
        <v>159</v>
      </c>
      <c r="C252" s="62" t="s">
        <v>127</v>
      </c>
      <c r="D252" s="79" t="s">
        <v>116</v>
      </c>
      <c r="E252" s="63">
        <f>1.6-1.6</f>
        <v>0</v>
      </c>
      <c r="F252" s="54">
        <v>2240</v>
      </c>
      <c r="G252" s="54"/>
    </row>
    <row r="253" spans="1:7" ht="16.5" customHeight="1">
      <c r="A253" s="24" t="s">
        <v>361</v>
      </c>
      <c r="B253" s="62" t="s">
        <v>159</v>
      </c>
      <c r="C253" s="62" t="s">
        <v>127</v>
      </c>
      <c r="D253" s="79" t="s">
        <v>116</v>
      </c>
      <c r="E253" s="63">
        <v>2.1</v>
      </c>
      <c r="F253" s="54">
        <v>2240</v>
      </c>
      <c r="G253" s="54"/>
    </row>
    <row r="254" spans="1:7" ht="16.5" customHeight="1">
      <c r="A254" s="78" t="s">
        <v>472</v>
      </c>
      <c r="B254" s="62"/>
      <c r="C254" s="62"/>
      <c r="D254" s="80"/>
      <c r="E254" s="63"/>
      <c r="F254" s="80"/>
      <c r="G254" s="80"/>
    </row>
    <row r="255" spans="1:7" ht="42.75" customHeight="1">
      <c r="A255" s="24" t="s">
        <v>473</v>
      </c>
      <c r="B255" s="62" t="s">
        <v>159</v>
      </c>
      <c r="C255" s="62" t="s">
        <v>127</v>
      </c>
      <c r="D255" s="81" t="s">
        <v>116</v>
      </c>
      <c r="E255" s="63">
        <f>10.5-10.5</f>
        <v>0</v>
      </c>
      <c r="F255" s="81">
        <v>2240</v>
      </c>
      <c r="G255" s="75"/>
    </row>
    <row r="256" spans="1:7" ht="39" customHeight="1">
      <c r="A256" s="24" t="s">
        <v>474</v>
      </c>
      <c r="B256" s="62" t="s">
        <v>159</v>
      </c>
      <c r="C256" s="62" t="s">
        <v>127</v>
      </c>
      <c r="D256" s="81" t="s">
        <v>116</v>
      </c>
      <c r="E256" s="63">
        <f>99-99</f>
        <v>0</v>
      </c>
      <c r="F256" s="81">
        <v>2240</v>
      </c>
      <c r="G256" s="75"/>
    </row>
    <row r="257" spans="1:7" ht="29.25" customHeight="1">
      <c r="A257" s="24" t="s">
        <v>475</v>
      </c>
      <c r="B257" s="62" t="s">
        <v>159</v>
      </c>
      <c r="C257" s="62" t="s">
        <v>127</v>
      </c>
      <c r="D257" s="81" t="s">
        <v>116</v>
      </c>
      <c r="E257" s="63">
        <f>19.4-19.4</f>
        <v>0</v>
      </c>
      <c r="F257" s="81">
        <v>2240</v>
      </c>
      <c r="G257" s="75"/>
    </row>
    <row r="258" spans="1:7" ht="16.5" customHeight="1">
      <c r="A258" s="24" t="s">
        <v>476</v>
      </c>
      <c r="B258" s="62" t="s">
        <v>159</v>
      </c>
      <c r="C258" s="62" t="s">
        <v>127</v>
      </c>
      <c r="D258" s="81" t="s">
        <v>116</v>
      </c>
      <c r="E258" s="63">
        <f>12-12</f>
        <v>0</v>
      </c>
      <c r="F258" s="81">
        <v>2240</v>
      </c>
      <c r="G258" s="75"/>
    </row>
    <row r="259" spans="1:7" ht="16.5" customHeight="1">
      <c r="A259" s="24" t="s">
        <v>477</v>
      </c>
      <c r="B259" s="62" t="s">
        <v>159</v>
      </c>
      <c r="C259" s="62" t="s">
        <v>127</v>
      </c>
      <c r="D259" s="81" t="s">
        <v>116</v>
      </c>
      <c r="E259" s="63">
        <f>12.6-12.6</f>
        <v>0</v>
      </c>
      <c r="F259" s="81">
        <v>2240</v>
      </c>
      <c r="G259" s="75"/>
    </row>
    <row r="260" spans="1:7" ht="31.5" customHeight="1">
      <c r="A260" s="24" t="s">
        <v>504</v>
      </c>
      <c r="B260" s="62" t="s">
        <v>159</v>
      </c>
      <c r="C260" s="62" t="s">
        <v>127</v>
      </c>
      <c r="D260" s="81" t="s">
        <v>116</v>
      </c>
      <c r="E260" s="63">
        <f>9.8-9.8</f>
        <v>0</v>
      </c>
      <c r="F260" s="81">
        <v>2240</v>
      </c>
      <c r="G260" s="81"/>
    </row>
    <row r="261" spans="1:7" ht="28.5" customHeight="1">
      <c r="A261" s="24" t="s">
        <v>505</v>
      </c>
      <c r="B261" s="62" t="s">
        <v>159</v>
      </c>
      <c r="C261" s="62" t="s">
        <v>127</v>
      </c>
      <c r="D261" s="81" t="s">
        <v>116</v>
      </c>
      <c r="E261" s="63">
        <f>9.7-9.7</f>
        <v>0</v>
      </c>
      <c r="F261" s="81">
        <v>2240</v>
      </c>
      <c r="G261" s="81"/>
    </row>
    <row r="262" spans="1:7" ht="26.25" customHeight="1">
      <c r="A262" s="24" t="s">
        <v>506</v>
      </c>
      <c r="B262" s="62" t="s">
        <v>159</v>
      </c>
      <c r="C262" s="62" t="s">
        <v>127</v>
      </c>
      <c r="D262" s="81" t="s">
        <v>116</v>
      </c>
      <c r="E262" s="63">
        <f>9.8-9.8</f>
        <v>0</v>
      </c>
      <c r="F262" s="81">
        <v>2240</v>
      </c>
      <c r="G262" s="81"/>
    </row>
    <row r="263" spans="1:7" ht="27.75" customHeight="1">
      <c r="A263" s="24" t="s">
        <v>507</v>
      </c>
      <c r="B263" s="62" t="s">
        <v>159</v>
      </c>
      <c r="C263" s="62" t="s">
        <v>127</v>
      </c>
      <c r="D263" s="81" t="s">
        <v>116</v>
      </c>
      <c r="E263" s="63">
        <f>9.7-9.7</f>
        <v>0</v>
      </c>
      <c r="F263" s="81">
        <v>2240</v>
      </c>
      <c r="G263" s="81"/>
    </row>
    <row r="264" spans="1:7" ht="27.75" customHeight="1">
      <c r="A264" s="24" t="s">
        <v>508</v>
      </c>
      <c r="B264" s="62" t="s">
        <v>159</v>
      </c>
      <c r="C264" s="62" t="s">
        <v>127</v>
      </c>
      <c r="D264" s="81" t="s">
        <v>116</v>
      </c>
      <c r="E264" s="63">
        <f>9.8-9.8</f>
        <v>0</v>
      </c>
      <c r="F264" s="81">
        <v>2240</v>
      </c>
      <c r="G264" s="81"/>
    </row>
    <row r="265" spans="1:7" ht="32.25" customHeight="1">
      <c r="A265" s="24" t="s">
        <v>509</v>
      </c>
      <c r="B265" s="62" t="s">
        <v>159</v>
      </c>
      <c r="C265" s="62" t="s">
        <v>127</v>
      </c>
      <c r="D265" s="81" t="s">
        <v>116</v>
      </c>
      <c r="E265" s="63">
        <f>9.7-9.7</f>
        <v>0</v>
      </c>
      <c r="F265" s="81">
        <v>2240</v>
      </c>
      <c r="G265" s="81"/>
    </row>
    <row r="266" spans="1:7" ht="30" customHeight="1">
      <c r="A266" s="24" t="s">
        <v>510</v>
      </c>
      <c r="B266" s="62" t="s">
        <v>159</v>
      </c>
      <c r="C266" s="62" t="s">
        <v>127</v>
      </c>
      <c r="D266" s="81" t="s">
        <v>116</v>
      </c>
      <c r="E266" s="63">
        <f>9.8-9.8</f>
        <v>0</v>
      </c>
      <c r="F266" s="81">
        <v>2240</v>
      </c>
      <c r="G266" s="81"/>
    </row>
    <row r="267" spans="1:7" ht="29.25" customHeight="1">
      <c r="A267" s="24" t="s">
        <v>511</v>
      </c>
      <c r="B267" s="62" t="s">
        <v>159</v>
      </c>
      <c r="C267" s="62" t="s">
        <v>127</v>
      </c>
      <c r="D267" s="81" t="s">
        <v>116</v>
      </c>
      <c r="E267" s="63">
        <f>9.7-9.7</f>
        <v>0</v>
      </c>
      <c r="F267" s="81">
        <v>2240</v>
      </c>
      <c r="G267" s="81"/>
    </row>
    <row r="268" spans="1:7" ht="29.25" customHeight="1">
      <c r="A268" s="24" t="s">
        <v>512</v>
      </c>
      <c r="B268" s="62" t="s">
        <v>159</v>
      </c>
      <c r="C268" s="62" t="s">
        <v>127</v>
      </c>
      <c r="D268" s="81" t="s">
        <v>116</v>
      </c>
      <c r="E268" s="63">
        <f>9.8-9.8</f>
        <v>0</v>
      </c>
      <c r="F268" s="81">
        <v>2240</v>
      </c>
      <c r="G268" s="81"/>
    </row>
    <row r="269" spans="1:7" ht="29.25" customHeight="1">
      <c r="A269" s="24" t="s">
        <v>513</v>
      </c>
      <c r="B269" s="62" t="s">
        <v>159</v>
      </c>
      <c r="C269" s="62" t="s">
        <v>127</v>
      </c>
      <c r="D269" s="81" t="s">
        <v>116</v>
      </c>
      <c r="E269" s="63">
        <f>9.7-9.7</f>
        <v>0</v>
      </c>
      <c r="F269" s="81">
        <v>2240</v>
      </c>
      <c r="G269" s="81"/>
    </row>
    <row r="270" spans="1:7" ht="29.25" customHeight="1">
      <c r="A270" s="24" t="s">
        <v>514</v>
      </c>
      <c r="B270" s="62" t="s">
        <v>159</v>
      </c>
      <c r="C270" s="62" t="s">
        <v>127</v>
      </c>
      <c r="D270" s="81" t="s">
        <v>116</v>
      </c>
      <c r="E270" s="63">
        <f>9.8-9.8</f>
        <v>0</v>
      </c>
      <c r="F270" s="81">
        <v>2240</v>
      </c>
      <c r="G270" s="81"/>
    </row>
    <row r="271" spans="1:7" ht="27.75" customHeight="1">
      <c r="A271" s="24" t="s">
        <v>515</v>
      </c>
      <c r="B271" s="62" t="s">
        <v>159</v>
      </c>
      <c r="C271" s="62" t="s">
        <v>127</v>
      </c>
      <c r="D271" s="81" t="s">
        <v>116</v>
      </c>
      <c r="E271" s="63">
        <f>9.8-9.8</f>
        <v>0</v>
      </c>
      <c r="F271" s="81">
        <v>2240</v>
      </c>
      <c r="G271" s="81"/>
    </row>
    <row r="272" spans="1:7" ht="28.5" customHeight="1">
      <c r="A272" s="24" t="s">
        <v>516</v>
      </c>
      <c r="B272" s="62" t="s">
        <v>159</v>
      </c>
      <c r="C272" s="62" t="s">
        <v>127</v>
      </c>
      <c r="D272" s="81" t="s">
        <v>116</v>
      </c>
      <c r="E272" s="63">
        <f>9.8-9.8</f>
        <v>0</v>
      </c>
      <c r="F272" s="81">
        <v>2240</v>
      </c>
      <c r="G272" s="81"/>
    </row>
    <row r="273" spans="1:7" ht="30" customHeight="1">
      <c r="A273" s="24" t="s">
        <v>517</v>
      </c>
      <c r="B273" s="62" t="s">
        <v>159</v>
      </c>
      <c r="C273" s="62" t="s">
        <v>127</v>
      </c>
      <c r="D273" s="81" t="s">
        <v>116</v>
      </c>
      <c r="E273" s="63">
        <f>9.7-9.7</f>
        <v>0</v>
      </c>
      <c r="F273" s="81">
        <v>2240</v>
      </c>
      <c r="G273" s="81"/>
    </row>
    <row r="274" spans="1:7" ht="25.5" customHeight="1">
      <c r="A274" s="24" t="s">
        <v>518</v>
      </c>
      <c r="B274" s="62" t="s">
        <v>159</v>
      </c>
      <c r="C274" s="62" t="s">
        <v>127</v>
      </c>
      <c r="D274" s="81" t="s">
        <v>116</v>
      </c>
      <c r="E274" s="63">
        <f>9.7-9.7</f>
        <v>0</v>
      </c>
      <c r="F274" s="81">
        <v>2240</v>
      </c>
      <c r="G274" s="81"/>
    </row>
    <row r="275" spans="1:7" ht="29.25" customHeight="1">
      <c r="A275" s="24" t="s">
        <v>519</v>
      </c>
      <c r="B275" s="62" t="s">
        <v>159</v>
      </c>
      <c r="C275" s="62" t="s">
        <v>127</v>
      </c>
      <c r="D275" s="81" t="s">
        <v>116</v>
      </c>
      <c r="E275" s="63">
        <f>9.8-9.8</f>
        <v>0</v>
      </c>
      <c r="F275" s="81">
        <v>2240</v>
      </c>
      <c r="G275" s="81"/>
    </row>
    <row r="276" spans="1:7" ht="26.25" customHeight="1">
      <c r="A276" s="24" t="s">
        <v>520</v>
      </c>
      <c r="B276" s="62" t="s">
        <v>159</v>
      </c>
      <c r="C276" s="62" t="s">
        <v>127</v>
      </c>
      <c r="D276" s="81" t="s">
        <v>116</v>
      </c>
      <c r="E276" s="63">
        <f>9.7-9.7</f>
        <v>0</v>
      </c>
      <c r="F276" s="81">
        <v>2240</v>
      </c>
      <c r="G276" s="81"/>
    </row>
    <row r="277" spans="1:7" ht="25.5" customHeight="1">
      <c r="A277" s="24" t="s">
        <v>521</v>
      </c>
      <c r="B277" s="62" t="s">
        <v>159</v>
      </c>
      <c r="C277" s="62" t="s">
        <v>127</v>
      </c>
      <c r="D277" s="81" t="s">
        <v>116</v>
      </c>
      <c r="E277" s="63">
        <f>9.8-9.8</f>
        <v>0</v>
      </c>
      <c r="F277" s="81">
        <v>2240</v>
      </c>
      <c r="G277" s="81"/>
    </row>
    <row r="278" spans="1:7" ht="29.25" customHeight="1">
      <c r="A278" s="24" t="s">
        <v>522</v>
      </c>
      <c r="B278" s="62" t="s">
        <v>159</v>
      </c>
      <c r="C278" s="62" t="s">
        <v>127</v>
      </c>
      <c r="D278" s="81" t="s">
        <v>116</v>
      </c>
      <c r="E278" s="63">
        <f>9.7-9.7</f>
        <v>0</v>
      </c>
      <c r="F278" s="81">
        <v>2240</v>
      </c>
      <c r="G278" s="81"/>
    </row>
    <row r="279" spans="1:7" ht="27" customHeight="1">
      <c r="A279" s="24" t="s">
        <v>523</v>
      </c>
      <c r="B279" s="62" t="s">
        <v>159</v>
      </c>
      <c r="C279" s="62" t="s">
        <v>127</v>
      </c>
      <c r="D279" s="81" t="s">
        <v>116</v>
      </c>
      <c r="E279" s="63">
        <f>9.8-9.8</f>
        <v>0</v>
      </c>
      <c r="F279" s="81">
        <v>2240</v>
      </c>
      <c r="G279" s="81"/>
    </row>
    <row r="280" spans="1:7" ht="30" customHeight="1">
      <c r="A280" s="24" t="s">
        <v>524</v>
      </c>
      <c r="B280" s="62" t="s">
        <v>159</v>
      </c>
      <c r="C280" s="62" t="s">
        <v>127</v>
      </c>
      <c r="D280" s="81" t="s">
        <v>116</v>
      </c>
      <c r="E280" s="63">
        <f>9.8-9.8</f>
        <v>0</v>
      </c>
      <c r="F280" s="81">
        <v>2240</v>
      </c>
      <c r="G280" s="81"/>
    </row>
    <row r="281" spans="1:7" ht="28.5" customHeight="1">
      <c r="A281" s="24" t="s">
        <v>525</v>
      </c>
      <c r="B281" s="62" t="s">
        <v>159</v>
      </c>
      <c r="C281" s="62" t="s">
        <v>127</v>
      </c>
      <c r="D281" s="81" t="s">
        <v>116</v>
      </c>
      <c r="E281" s="63">
        <f>9.7-9.7</f>
        <v>0</v>
      </c>
      <c r="F281" s="81">
        <v>2240</v>
      </c>
      <c r="G281" s="81"/>
    </row>
    <row r="282" spans="1:7" ht="27.75" customHeight="1">
      <c r="A282" s="24" t="s">
        <v>526</v>
      </c>
      <c r="B282" s="62" t="s">
        <v>159</v>
      </c>
      <c r="C282" s="62" t="s">
        <v>127</v>
      </c>
      <c r="D282" s="81" t="s">
        <v>116</v>
      </c>
      <c r="E282" s="63">
        <f>9.8-9.8</f>
        <v>0</v>
      </c>
      <c r="F282" s="81">
        <v>2240</v>
      </c>
      <c r="G282" s="81"/>
    </row>
    <row r="283" spans="1:7" ht="30.75" customHeight="1">
      <c r="A283" s="24" t="s">
        <v>527</v>
      </c>
      <c r="B283" s="62" t="s">
        <v>159</v>
      </c>
      <c r="C283" s="62" t="s">
        <v>127</v>
      </c>
      <c r="D283" s="81" t="s">
        <v>116</v>
      </c>
      <c r="E283" s="63">
        <f>9.7-9.7</f>
        <v>0</v>
      </c>
      <c r="F283" s="81">
        <v>2240</v>
      </c>
      <c r="G283" s="81"/>
    </row>
    <row r="284" spans="1:7" ht="27" customHeight="1">
      <c r="A284" s="24" t="s">
        <v>528</v>
      </c>
      <c r="B284" s="62" t="s">
        <v>159</v>
      </c>
      <c r="C284" s="62" t="s">
        <v>127</v>
      </c>
      <c r="D284" s="81" t="s">
        <v>116</v>
      </c>
      <c r="E284" s="63">
        <f>9.8-9.8</f>
        <v>0</v>
      </c>
      <c r="F284" s="81">
        <v>2240</v>
      </c>
      <c r="G284" s="81"/>
    </row>
    <row r="285" spans="1:7" ht="28.5" customHeight="1">
      <c r="A285" s="24" t="s">
        <v>529</v>
      </c>
      <c r="B285" s="62" t="s">
        <v>159</v>
      </c>
      <c r="C285" s="62" t="s">
        <v>127</v>
      </c>
      <c r="D285" s="81" t="s">
        <v>116</v>
      </c>
      <c r="E285" s="63">
        <f>9.7-9.7</f>
        <v>0</v>
      </c>
      <c r="F285" s="81">
        <v>2240</v>
      </c>
      <c r="G285" s="81"/>
    </row>
    <row r="286" spans="1:7" ht="29.25" customHeight="1">
      <c r="A286" s="24" t="s">
        <v>530</v>
      </c>
      <c r="B286" s="62" t="s">
        <v>159</v>
      </c>
      <c r="C286" s="62" t="s">
        <v>127</v>
      </c>
      <c r="D286" s="81" t="s">
        <v>116</v>
      </c>
      <c r="E286" s="63">
        <f>9.8-9.8</f>
        <v>0</v>
      </c>
      <c r="F286" s="81">
        <v>2240</v>
      </c>
      <c r="G286" s="81"/>
    </row>
    <row r="287" spans="1:7" ht="29.25" customHeight="1">
      <c r="A287" s="24" t="s">
        <v>531</v>
      </c>
      <c r="B287" s="62" t="s">
        <v>159</v>
      </c>
      <c r="C287" s="62" t="s">
        <v>127</v>
      </c>
      <c r="D287" s="81" t="s">
        <v>116</v>
      </c>
      <c r="E287" s="63">
        <f>9.7-9.7</f>
        <v>0</v>
      </c>
      <c r="F287" s="81">
        <v>2240</v>
      </c>
      <c r="G287" s="81"/>
    </row>
    <row r="288" spans="1:7" ht="31.5" customHeight="1">
      <c r="A288" s="24" t="s">
        <v>532</v>
      </c>
      <c r="B288" s="62" t="s">
        <v>159</v>
      </c>
      <c r="C288" s="62" t="s">
        <v>127</v>
      </c>
      <c r="D288" s="81" t="s">
        <v>116</v>
      </c>
      <c r="E288" s="63">
        <f>9.8-9.8</f>
        <v>0</v>
      </c>
      <c r="F288" s="81">
        <v>2240</v>
      </c>
      <c r="G288" s="81"/>
    </row>
    <row r="289" spans="1:7" ht="27.75" customHeight="1">
      <c r="A289" s="24" t="s">
        <v>533</v>
      </c>
      <c r="B289" s="62" t="s">
        <v>159</v>
      </c>
      <c r="C289" s="62" t="s">
        <v>127</v>
      </c>
      <c r="D289" s="81" t="s">
        <v>116</v>
      </c>
      <c r="E289" s="63">
        <f>9.8-9.8</f>
        <v>0</v>
      </c>
      <c r="F289" s="81">
        <v>2240</v>
      </c>
      <c r="G289" s="81"/>
    </row>
    <row r="290" spans="1:7" ht="28.5" customHeight="1">
      <c r="A290" s="24" t="s">
        <v>534</v>
      </c>
      <c r="B290" s="62" t="s">
        <v>159</v>
      </c>
      <c r="C290" s="62" t="s">
        <v>127</v>
      </c>
      <c r="D290" s="81" t="s">
        <v>116</v>
      </c>
      <c r="E290" s="63">
        <f>9.7-9.7</f>
        <v>0</v>
      </c>
      <c r="F290" s="81">
        <v>2240</v>
      </c>
      <c r="G290" s="81"/>
    </row>
    <row r="291" spans="1:7" ht="28.5" customHeight="1">
      <c r="A291" s="24" t="s">
        <v>535</v>
      </c>
      <c r="B291" s="62" t="s">
        <v>159</v>
      </c>
      <c r="C291" s="62" t="s">
        <v>127</v>
      </c>
      <c r="D291" s="81" t="s">
        <v>116</v>
      </c>
      <c r="E291" s="63">
        <f>9.7-9.7</f>
        <v>0</v>
      </c>
      <c r="F291" s="81">
        <v>2240</v>
      </c>
      <c r="G291" s="81"/>
    </row>
    <row r="292" spans="1:7" ht="27" customHeight="1">
      <c r="A292" s="24" t="s">
        <v>536</v>
      </c>
      <c r="B292" s="62" t="s">
        <v>159</v>
      </c>
      <c r="C292" s="62" t="s">
        <v>127</v>
      </c>
      <c r="D292" s="81" t="s">
        <v>116</v>
      </c>
      <c r="E292" s="63">
        <f>9.8-9.8</f>
        <v>0</v>
      </c>
      <c r="F292" s="81">
        <v>2240</v>
      </c>
      <c r="G292" s="81"/>
    </row>
    <row r="293" spans="1:7" ht="16.5" customHeight="1">
      <c r="A293" s="78" t="s">
        <v>478</v>
      </c>
      <c r="B293" s="62"/>
      <c r="C293" s="62"/>
      <c r="D293" s="80"/>
      <c r="E293" s="63"/>
      <c r="F293" s="80"/>
      <c r="G293" s="80"/>
    </row>
    <row r="294" spans="1:7" ht="38.25" customHeight="1">
      <c r="A294" s="24" t="s">
        <v>479</v>
      </c>
      <c r="B294" s="62" t="s">
        <v>159</v>
      </c>
      <c r="C294" s="62" t="s">
        <v>127</v>
      </c>
      <c r="D294" s="81" t="s">
        <v>116</v>
      </c>
      <c r="E294" s="63">
        <f>58.6-58.6</f>
        <v>0</v>
      </c>
      <c r="F294" s="81">
        <v>2240</v>
      </c>
      <c r="G294" s="75"/>
    </row>
    <row r="295" spans="1:7" ht="43.5" customHeight="1">
      <c r="A295" s="24" t="s">
        <v>480</v>
      </c>
      <c r="B295" s="62" t="s">
        <v>159</v>
      </c>
      <c r="C295" s="62" t="s">
        <v>127</v>
      </c>
      <c r="D295" s="81" t="s">
        <v>116</v>
      </c>
      <c r="E295" s="63">
        <f>10.4-10.4</f>
        <v>0</v>
      </c>
      <c r="F295" s="81">
        <v>2240</v>
      </c>
      <c r="G295" s="75"/>
    </row>
    <row r="296" spans="1:7" ht="16.5" customHeight="1">
      <c r="A296" s="24" t="s">
        <v>481</v>
      </c>
      <c r="B296" s="62" t="s">
        <v>159</v>
      </c>
      <c r="C296" s="62" t="s">
        <v>127</v>
      </c>
      <c r="D296" s="81" t="s">
        <v>116</v>
      </c>
      <c r="E296" s="63">
        <v>32.5</v>
      </c>
      <c r="F296" s="81">
        <v>2240</v>
      </c>
      <c r="G296" s="75"/>
    </row>
    <row r="297" spans="1:7" ht="16.5" customHeight="1">
      <c r="A297" s="78" t="s">
        <v>482</v>
      </c>
      <c r="B297" s="62"/>
      <c r="C297" s="62"/>
      <c r="D297" s="75"/>
      <c r="E297" s="63"/>
      <c r="F297" s="75"/>
      <c r="G297" s="75"/>
    </row>
    <row r="298" spans="1:7" ht="31.5" customHeight="1">
      <c r="A298" s="24" t="s">
        <v>483</v>
      </c>
      <c r="B298" s="62" t="s">
        <v>159</v>
      </c>
      <c r="C298" s="62" t="s">
        <v>127</v>
      </c>
      <c r="D298" s="81" t="s">
        <v>116</v>
      </c>
      <c r="E298" s="63">
        <v>8.3</v>
      </c>
      <c r="F298" s="81">
        <v>2240</v>
      </c>
      <c r="G298" s="75"/>
    </row>
    <row r="299" spans="1:7" ht="16.5" customHeight="1">
      <c r="A299" s="24" t="s">
        <v>484</v>
      </c>
      <c r="B299" s="62" t="s">
        <v>159</v>
      </c>
      <c r="C299" s="62" t="s">
        <v>127</v>
      </c>
      <c r="D299" s="81" t="s">
        <v>116</v>
      </c>
      <c r="E299" s="63">
        <f>12.3-12.3</f>
        <v>0</v>
      </c>
      <c r="F299" s="81">
        <v>2240</v>
      </c>
      <c r="G299" s="75"/>
    </row>
    <row r="300" spans="1:7" ht="16.5" customHeight="1">
      <c r="A300" s="24" t="s">
        <v>485</v>
      </c>
      <c r="B300" s="62" t="s">
        <v>159</v>
      </c>
      <c r="C300" s="62" t="s">
        <v>127</v>
      </c>
      <c r="D300" s="81" t="s">
        <v>116</v>
      </c>
      <c r="E300" s="63">
        <v>64.1</v>
      </c>
      <c r="F300" s="81">
        <v>2240</v>
      </c>
      <c r="G300" s="75"/>
    </row>
    <row r="301" spans="1:7" ht="16.5" customHeight="1">
      <c r="A301" s="24" t="s">
        <v>486</v>
      </c>
      <c r="B301" s="62" t="s">
        <v>159</v>
      </c>
      <c r="C301" s="62" t="s">
        <v>127</v>
      </c>
      <c r="D301" s="81" t="s">
        <v>116</v>
      </c>
      <c r="E301" s="63">
        <v>5.6</v>
      </c>
      <c r="F301" s="81">
        <v>2240</v>
      </c>
      <c r="G301" s="75"/>
    </row>
    <row r="302" spans="1:7" ht="38.25" customHeight="1">
      <c r="A302" s="24" t="s">
        <v>488</v>
      </c>
      <c r="B302" s="62" t="s">
        <v>159</v>
      </c>
      <c r="C302" s="62" t="s">
        <v>127</v>
      </c>
      <c r="D302" s="81" t="s">
        <v>116</v>
      </c>
      <c r="E302" s="63">
        <v>6.8</v>
      </c>
      <c r="F302" s="81">
        <v>2240</v>
      </c>
      <c r="G302" s="75"/>
    </row>
    <row r="303" spans="1:7" ht="33.75" customHeight="1">
      <c r="A303" s="90" t="s">
        <v>545</v>
      </c>
      <c r="B303" s="91" t="s">
        <v>159</v>
      </c>
      <c r="C303" s="91" t="s">
        <v>127</v>
      </c>
      <c r="D303" s="92" t="s">
        <v>116</v>
      </c>
      <c r="E303" s="93">
        <v>550.1</v>
      </c>
      <c r="F303" s="92">
        <v>2240</v>
      </c>
      <c r="G303" s="92"/>
    </row>
    <row r="304" spans="1:7" ht="19.5" customHeight="1">
      <c r="A304" s="24" t="s">
        <v>572</v>
      </c>
      <c r="B304" s="62" t="s">
        <v>159</v>
      </c>
      <c r="C304" s="62" t="s">
        <v>127</v>
      </c>
      <c r="D304" s="107" t="s">
        <v>116</v>
      </c>
      <c r="E304" s="63">
        <f>0.7-0.1</f>
        <v>0.6</v>
      </c>
      <c r="F304" s="107">
        <v>2240</v>
      </c>
      <c r="G304" s="107"/>
    </row>
    <row r="305" spans="1:7" ht="19.5" customHeight="1">
      <c r="A305" s="24" t="s">
        <v>581</v>
      </c>
      <c r="B305" s="62" t="s">
        <v>159</v>
      </c>
      <c r="C305" s="62" t="s">
        <v>127</v>
      </c>
      <c r="D305" s="107" t="s">
        <v>116</v>
      </c>
      <c r="E305" s="63">
        <f>3.6-0.2-2.4</f>
        <v>1</v>
      </c>
      <c r="F305" s="107">
        <v>2240</v>
      </c>
      <c r="G305" s="107"/>
    </row>
    <row r="306" spans="1:7" ht="30" customHeight="1">
      <c r="A306" s="24" t="s">
        <v>582</v>
      </c>
      <c r="B306" s="62" t="s">
        <v>159</v>
      </c>
      <c r="C306" s="62" t="s">
        <v>127</v>
      </c>
      <c r="D306" s="107" t="s">
        <v>116</v>
      </c>
      <c r="E306" s="63">
        <f>1.1-0.3</f>
        <v>0.8</v>
      </c>
      <c r="F306" s="107">
        <v>2240</v>
      </c>
      <c r="G306" s="107"/>
    </row>
    <row r="307" spans="1:7" ht="19.5" customHeight="1">
      <c r="A307" s="24" t="s">
        <v>584</v>
      </c>
      <c r="B307" s="62" t="s">
        <v>159</v>
      </c>
      <c r="C307" s="62" t="s">
        <v>127</v>
      </c>
      <c r="D307" s="107" t="s">
        <v>116</v>
      </c>
      <c r="E307" s="63">
        <v>0.1</v>
      </c>
      <c r="F307" s="107">
        <v>2240</v>
      </c>
      <c r="G307" s="107"/>
    </row>
    <row r="308" spans="1:7" ht="19.5" customHeight="1">
      <c r="A308" s="24" t="s">
        <v>585</v>
      </c>
      <c r="B308" s="62" t="s">
        <v>159</v>
      </c>
      <c r="C308" s="62" t="s">
        <v>127</v>
      </c>
      <c r="D308" s="107" t="s">
        <v>116</v>
      </c>
      <c r="E308" s="63">
        <v>50</v>
      </c>
      <c r="F308" s="107">
        <v>2240</v>
      </c>
      <c r="G308" s="107"/>
    </row>
    <row r="309" spans="1:7" ht="42" customHeight="1">
      <c r="A309" s="24" t="s">
        <v>614</v>
      </c>
      <c r="B309" s="62" t="s">
        <v>159</v>
      </c>
      <c r="C309" s="62" t="s">
        <v>127</v>
      </c>
      <c r="D309" s="107" t="s">
        <v>116</v>
      </c>
      <c r="E309" s="63">
        <f>90-34-15</f>
        <v>41</v>
      </c>
      <c r="F309" s="107">
        <v>2240</v>
      </c>
      <c r="G309" s="107"/>
    </row>
    <row r="310" spans="1:7" ht="30" customHeight="1">
      <c r="A310" s="24" t="s">
        <v>615</v>
      </c>
      <c r="B310" s="62" t="s">
        <v>159</v>
      </c>
      <c r="C310" s="62" t="s">
        <v>127</v>
      </c>
      <c r="D310" s="107" t="s">
        <v>116</v>
      </c>
      <c r="E310" s="63">
        <f>2-2</f>
        <v>0</v>
      </c>
      <c r="F310" s="107">
        <v>2240</v>
      </c>
      <c r="G310" s="107"/>
    </row>
    <row r="311" spans="1:7" ht="19.5" customHeight="1">
      <c r="A311" s="24" t="s">
        <v>585</v>
      </c>
      <c r="B311" s="62" t="s">
        <v>159</v>
      </c>
      <c r="C311" s="62" t="s">
        <v>127</v>
      </c>
      <c r="D311" s="107" t="s">
        <v>116</v>
      </c>
      <c r="E311" s="63">
        <v>2</v>
      </c>
      <c r="F311" s="107">
        <v>2240</v>
      </c>
      <c r="G311" s="107"/>
    </row>
    <row r="312" spans="1:7" ht="26.25" customHeight="1">
      <c r="A312" s="24" t="s">
        <v>616</v>
      </c>
      <c r="B312" s="62" t="s">
        <v>159</v>
      </c>
      <c r="C312" s="62" t="s">
        <v>127</v>
      </c>
      <c r="D312" s="107" t="s">
        <v>116</v>
      </c>
      <c r="E312" s="63">
        <f>30.6-0.1</f>
        <v>30.5</v>
      </c>
      <c r="F312" s="107">
        <v>2240</v>
      </c>
      <c r="G312" s="107"/>
    </row>
    <row r="313" spans="1:7" ht="31.5" customHeight="1">
      <c r="A313" s="24" t="s">
        <v>617</v>
      </c>
      <c r="B313" s="62" t="s">
        <v>159</v>
      </c>
      <c r="C313" s="62" t="s">
        <v>127</v>
      </c>
      <c r="D313" s="107" t="s">
        <v>116</v>
      </c>
      <c r="E313" s="63">
        <f>20.9+15-1.3+0.3+0.4+0.1-0.4+3-2.9</f>
        <v>35.1</v>
      </c>
      <c r="F313" s="107">
        <v>2240</v>
      </c>
      <c r="G313" s="107"/>
    </row>
    <row r="314" spans="1:7" ht="19.5" customHeight="1">
      <c r="A314" s="24" t="s">
        <v>618</v>
      </c>
      <c r="B314" s="62" t="s">
        <v>159</v>
      </c>
      <c r="C314" s="62" t="s">
        <v>127</v>
      </c>
      <c r="D314" s="107" t="s">
        <v>116</v>
      </c>
      <c r="E314" s="63">
        <f>16.5-10-3.5-0.1-1.5-0.1</f>
        <v>1.2999999999999998</v>
      </c>
      <c r="F314" s="107">
        <v>2240</v>
      </c>
      <c r="G314" s="107"/>
    </row>
    <row r="315" spans="1:7" ht="41.25" customHeight="1">
      <c r="A315" s="24" t="s">
        <v>619</v>
      </c>
      <c r="B315" s="62" t="s">
        <v>159</v>
      </c>
      <c r="C315" s="62" t="s">
        <v>127</v>
      </c>
      <c r="D315" s="107" t="s">
        <v>116</v>
      </c>
      <c r="E315" s="63">
        <f>128.5-3.1+34-42.3-9.3-0.3-13.2-0.4-0.2-0.2+2.6+0.3+1.2+0.1+2+0.1+1.5+0.4+42.3-50+0.5-3+0.3+2.2+4.9+2.9+0.1-0.4</f>
        <v>101.5</v>
      </c>
      <c r="F315" s="107">
        <v>2240</v>
      </c>
      <c r="G315" s="107"/>
    </row>
    <row r="316" spans="1:7" ht="32.25" customHeight="1">
      <c r="A316" s="24" t="s">
        <v>620</v>
      </c>
      <c r="B316" s="62" t="s">
        <v>159</v>
      </c>
      <c r="C316" s="62" t="s">
        <v>127</v>
      </c>
      <c r="D316" s="107" t="s">
        <v>116</v>
      </c>
      <c r="E316" s="63">
        <f>8-8</f>
        <v>0</v>
      </c>
      <c r="F316" s="107">
        <v>2240</v>
      </c>
      <c r="G316" s="107"/>
    </row>
    <row r="317" spans="1:7" ht="30.75" customHeight="1">
      <c r="A317" s="24" t="s">
        <v>621</v>
      </c>
      <c r="B317" s="62" t="s">
        <v>159</v>
      </c>
      <c r="C317" s="62" t="s">
        <v>127</v>
      </c>
      <c r="D317" s="107" t="s">
        <v>116</v>
      </c>
      <c r="E317" s="63">
        <f>75.1-6.8-2-5+8-0.2-0.1</f>
        <v>69</v>
      </c>
      <c r="F317" s="107">
        <v>2240</v>
      </c>
      <c r="G317" s="107"/>
    </row>
    <row r="318" spans="1:7" ht="29.25" customHeight="1">
      <c r="A318" s="24" t="s">
        <v>622</v>
      </c>
      <c r="B318" s="62" t="s">
        <v>159</v>
      </c>
      <c r="C318" s="62" t="s">
        <v>127</v>
      </c>
      <c r="D318" s="107" t="s">
        <v>116</v>
      </c>
      <c r="E318" s="63">
        <f>31.3+12.1-43.4</f>
        <v>0</v>
      </c>
      <c r="F318" s="107">
        <v>2240</v>
      </c>
      <c r="G318" s="107"/>
    </row>
    <row r="319" spans="1:7" ht="19.5" customHeight="1">
      <c r="A319" s="24" t="s">
        <v>623</v>
      </c>
      <c r="B319" s="62" t="s">
        <v>159</v>
      </c>
      <c r="C319" s="62" t="s">
        <v>127</v>
      </c>
      <c r="D319" s="107" t="s">
        <v>116</v>
      </c>
      <c r="E319" s="63">
        <f>5.3-0.5-1.4+1.9-0.7</f>
        <v>4.6</v>
      </c>
      <c r="F319" s="107">
        <v>2240</v>
      </c>
      <c r="G319" s="107"/>
    </row>
    <row r="320" spans="1:7" ht="30" customHeight="1">
      <c r="A320" s="24" t="s">
        <v>624</v>
      </c>
      <c r="B320" s="62" t="s">
        <v>159</v>
      </c>
      <c r="C320" s="62" t="s">
        <v>127</v>
      </c>
      <c r="D320" s="107" t="s">
        <v>116</v>
      </c>
      <c r="E320" s="63">
        <v>2</v>
      </c>
      <c r="F320" s="107">
        <v>2240</v>
      </c>
      <c r="G320" s="107"/>
    </row>
    <row r="321" spans="1:7" ht="27" customHeight="1">
      <c r="A321" s="24" t="s">
        <v>625</v>
      </c>
      <c r="B321" s="62" t="s">
        <v>159</v>
      </c>
      <c r="C321" s="62" t="s">
        <v>127</v>
      </c>
      <c r="D321" s="107" t="s">
        <v>116</v>
      </c>
      <c r="E321" s="63">
        <v>1.7</v>
      </c>
      <c r="F321" s="107">
        <v>2240</v>
      </c>
      <c r="G321" s="107"/>
    </row>
    <row r="322" spans="1:7" ht="29.25" customHeight="1">
      <c r="A322" s="24" t="s">
        <v>626</v>
      </c>
      <c r="B322" s="62" t="s">
        <v>159</v>
      </c>
      <c r="C322" s="62" t="s">
        <v>127</v>
      </c>
      <c r="D322" s="135" t="s">
        <v>116</v>
      </c>
      <c r="E322" s="63">
        <f>17.7-5-4.3</f>
        <v>8.399999999999999</v>
      </c>
      <c r="F322" s="135">
        <v>2240</v>
      </c>
      <c r="G322" s="135"/>
    </row>
    <row r="323" spans="1:7" ht="27.75" customHeight="1">
      <c r="A323" s="24" t="s">
        <v>627</v>
      </c>
      <c r="B323" s="62" t="s">
        <v>159</v>
      </c>
      <c r="C323" s="62" t="s">
        <v>127</v>
      </c>
      <c r="D323" s="135" t="s">
        <v>116</v>
      </c>
      <c r="E323" s="63">
        <v>95.6</v>
      </c>
      <c r="F323" s="135">
        <v>2240</v>
      </c>
      <c r="G323" s="135"/>
    </row>
    <row r="324" spans="1:7" ht="19.5" customHeight="1">
      <c r="A324" s="24" t="s">
        <v>628</v>
      </c>
      <c r="B324" s="62" t="s">
        <v>159</v>
      </c>
      <c r="C324" s="62" t="s">
        <v>127</v>
      </c>
      <c r="D324" s="135" t="s">
        <v>116</v>
      </c>
      <c r="E324" s="63">
        <f>4.4-0.2-0.1-0.5+0.8</f>
        <v>4.4</v>
      </c>
      <c r="F324" s="135">
        <v>2240</v>
      </c>
      <c r="G324" s="135"/>
    </row>
    <row r="325" spans="1:7" ht="19.5" customHeight="1">
      <c r="A325" s="24" t="s">
        <v>636</v>
      </c>
      <c r="B325" s="62" t="s">
        <v>159</v>
      </c>
      <c r="C325" s="62" t="s">
        <v>127</v>
      </c>
      <c r="D325" s="135" t="s">
        <v>116</v>
      </c>
      <c r="E325" s="63">
        <v>0</v>
      </c>
      <c r="F325" s="135">
        <v>2240</v>
      </c>
      <c r="G325" s="135"/>
    </row>
    <row r="326" spans="1:7" ht="30" customHeight="1">
      <c r="A326" s="24" t="s">
        <v>681</v>
      </c>
      <c r="B326" s="62" t="s">
        <v>159</v>
      </c>
      <c r="C326" s="62" t="s">
        <v>127</v>
      </c>
      <c r="D326" s="135" t="s">
        <v>116</v>
      </c>
      <c r="E326" s="63">
        <f>0.5+1.4</f>
        <v>1.9</v>
      </c>
      <c r="F326" s="135">
        <v>2240</v>
      </c>
      <c r="G326" s="135"/>
    </row>
    <row r="327" spans="1:7" ht="30" customHeight="1">
      <c r="A327" s="24" t="s">
        <v>691</v>
      </c>
      <c r="B327" s="62" t="s">
        <v>159</v>
      </c>
      <c r="C327" s="62" t="s">
        <v>127</v>
      </c>
      <c r="D327" s="135" t="s">
        <v>116</v>
      </c>
      <c r="E327" s="63">
        <f>15.2+6.5</f>
        <v>21.7</v>
      </c>
      <c r="F327" s="135">
        <v>2240</v>
      </c>
      <c r="G327" s="135"/>
    </row>
    <row r="328" spans="1:7" ht="30" customHeight="1">
      <c r="A328" s="24" t="s">
        <v>692</v>
      </c>
      <c r="B328" s="62" t="s">
        <v>159</v>
      </c>
      <c r="C328" s="62" t="s">
        <v>127</v>
      </c>
      <c r="D328" s="135" t="s">
        <v>116</v>
      </c>
      <c r="E328" s="63">
        <v>42.3</v>
      </c>
      <c r="F328" s="135">
        <v>2240</v>
      </c>
      <c r="G328" s="135"/>
    </row>
    <row r="329" spans="1:7" ht="30" customHeight="1">
      <c r="A329" s="24" t="s">
        <v>696</v>
      </c>
      <c r="B329" s="62" t="s">
        <v>159</v>
      </c>
      <c r="C329" s="62" t="s">
        <v>127</v>
      </c>
      <c r="D329" s="135" t="s">
        <v>116</v>
      </c>
      <c r="E329" s="63">
        <v>72.9</v>
      </c>
      <c r="F329" s="135">
        <v>2240</v>
      </c>
      <c r="G329" s="135"/>
    </row>
    <row r="330" spans="1:7" ht="30" customHeight="1">
      <c r="A330" s="24" t="s">
        <v>697</v>
      </c>
      <c r="B330" s="62" t="s">
        <v>159</v>
      </c>
      <c r="C330" s="62" t="s">
        <v>127</v>
      </c>
      <c r="D330" s="151" t="s">
        <v>116</v>
      </c>
      <c r="E330" s="63">
        <f>72-1.1-0.8</f>
        <v>70.10000000000001</v>
      </c>
      <c r="F330" s="151">
        <v>2240</v>
      </c>
      <c r="G330" s="151"/>
    </row>
    <row r="331" spans="1:7" ht="30" customHeight="1">
      <c r="A331" s="24" t="s">
        <v>698</v>
      </c>
      <c r="B331" s="62" t="s">
        <v>159</v>
      </c>
      <c r="C331" s="62" t="s">
        <v>127</v>
      </c>
      <c r="D331" s="151" t="s">
        <v>116</v>
      </c>
      <c r="E331" s="63">
        <v>25</v>
      </c>
      <c r="F331" s="151">
        <v>2240</v>
      </c>
      <c r="G331" s="151"/>
    </row>
    <row r="332" spans="1:7" ht="30" customHeight="1">
      <c r="A332" s="24" t="s">
        <v>738</v>
      </c>
      <c r="B332" s="62" t="s">
        <v>159</v>
      </c>
      <c r="C332" s="62" t="s">
        <v>127</v>
      </c>
      <c r="D332" s="162" t="s">
        <v>116</v>
      </c>
      <c r="E332" s="63">
        <v>5</v>
      </c>
      <c r="F332" s="162">
        <v>2240</v>
      </c>
      <c r="G332" s="162"/>
    </row>
    <row r="333" spans="1:7" ht="30" customHeight="1">
      <c r="A333" s="24" t="s">
        <v>739</v>
      </c>
      <c r="B333" s="62" t="s">
        <v>159</v>
      </c>
      <c r="C333" s="62" t="s">
        <v>127</v>
      </c>
      <c r="D333" s="162" t="s">
        <v>116</v>
      </c>
      <c r="E333" s="63">
        <v>70</v>
      </c>
      <c r="F333" s="162">
        <v>2240</v>
      </c>
      <c r="G333" s="162"/>
    </row>
    <row r="334" spans="1:7" ht="30" customHeight="1">
      <c r="A334" s="24" t="s">
        <v>752</v>
      </c>
      <c r="B334" s="62" t="s">
        <v>159</v>
      </c>
      <c r="C334" s="62" t="s">
        <v>127</v>
      </c>
      <c r="D334" s="162" t="s">
        <v>116</v>
      </c>
      <c r="E334" s="63">
        <f>0.4+0.3</f>
        <v>0.7</v>
      </c>
      <c r="F334" s="162">
        <v>2240</v>
      </c>
      <c r="G334" s="162"/>
    </row>
    <row r="335" spans="1:7" ht="16.5" customHeight="1" thickBot="1">
      <c r="A335" s="212" t="s">
        <v>362</v>
      </c>
      <c r="B335" s="213"/>
      <c r="C335" s="213"/>
      <c r="D335" s="214"/>
      <c r="E335" s="157">
        <f>SUM(E207:E334)</f>
        <v>2247.399999999999</v>
      </c>
      <c r="F335" s="158"/>
      <c r="G335" s="159"/>
    </row>
    <row r="336" spans="1:7" ht="16.5" customHeight="1">
      <c r="A336" s="24" t="s">
        <v>416</v>
      </c>
      <c r="B336" s="62" t="s">
        <v>271</v>
      </c>
      <c r="C336" s="62" t="s">
        <v>127</v>
      </c>
      <c r="D336" s="79" t="s">
        <v>116</v>
      </c>
      <c r="E336" s="63">
        <v>71.7</v>
      </c>
      <c r="F336" s="61">
        <v>2240</v>
      </c>
      <c r="G336" s="54"/>
    </row>
    <row r="337" spans="1:7" ht="16.5" customHeight="1">
      <c r="A337" s="24" t="s">
        <v>417</v>
      </c>
      <c r="B337" s="62" t="s">
        <v>271</v>
      </c>
      <c r="C337" s="62" t="s">
        <v>127</v>
      </c>
      <c r="D337" s="79" t="s">
        <v>116</v>
      </c>
      <c r="E337" s="63">
        <v>87</v>
      </c>
      <c r="F337" s="61">
        <v>2240</v>
      </c>
      <c r="G337" s="54"/>
    </row>
    <row r="338" spans="1:7" ht="16.5" customHeight="1">
      <c r="A338" s="24" t="s">
        <v>418</v>
      </c>
      <c r="B338" s="62" t="s">
        <v>271</v>
      </c>
      <c r="C338" s="62" t="s">
        <v>127</v>
      </c>
      <c r="D338" s="79" t="s">
        <v>116</v>
      </c>
      <c r="E338" s="63">
        <v>70</v>
      </c>
      <c r="F338" s="61">
        <v>2240</v>
      </c>
      <c r="G338" s="54"/>
    </row>
    <row r="339" spans="1:7" ht="16.5" customHeight="1">
      <c r="A339" s="24" t="s">
        <v>419</v>
      </c>
      <c r="B339" s="62" t="s">
        <v>271</v>
      </c>
      <c r="C339" s="62" t="s">
        <v>127</v>
      </c>
      <c r="D339" s="79" t="s">
        <v>116</v>
      </c>
      <c r="E339" s="63">
        <v>70</v>
      </c>
      <c r="F339" s="61">
        <v>2240</v>
      </c>
      <c r="G339" s="54"/>
    </row>
    <row r="340" spans="1:7" ht="16.5" customHeight="1">
      <c r="A340" s="24" t="s">
        <v>420</v>
      </c>
      <c r="B340" s="62" t="s">
        <v>271</v>
      </c>
      <c r="C340" s="62" t="s">
        <v>127</v>
      </c>
      <c r="D340" s="79" t="s">
        <v>116</v>
      </c>
      <c r="E340" s="63">
        <v>40.5</v>
      </c>
      <c r="F340" s="61">
        <v>2240</v>
      </c>
      <c r="G340" s="54"/>
    </row>
    <row r="341" spans="1:7" ht="16.5" customHeight="1">
      <c r="A341" s="24" t="s">
        <v>421</v>
      </c>
      <c r="B341" s="62" t="s">
        <v>271</v>
      </c>
      <c r="C341" s="62" t="s">
        <v>127</v>
      </c>
      <c r="D341" s="79" t="s">
        <v>116</v>
      </c>
      <c r="E341" s="63">
        <v>80</v>
      </c>
      <c r="F341" s="61">
        <v>2240</v>
      </c>
      <c r="G341" s="54"/>
    </row>
    <row r="342" spans="1:7" ht="25.5" customHeight="1">
      <c r="A342" s="24" t="s">
        <v>422</v>
      </c>
      <c r="B342" s="62" t="s">
        <v>271</v>
      </c>
      <c r="C342" s="62" t="s">
        <v>127</v>
      </c>
      <c r="D342" s="79" t="s">
        <v>116</v>
      </c>
      <c r="E342" s="63">
        <v>8</v>
      </c>
      <c r="F342" s="61">
        <v>2240</v>
      </c>
      <c r="G342" s="54"/>
    </row>
    <row r="343" spans="1:7" ht="16.5" customHeight="1">
      <c r="A343" s="24" t="s">
        <v>423</v>
      </c>
      <c r="B343" s="62" t="s">
        <v>271</v>
      </c>
      <c r="C343" s="62" t="s">
        <v>127</v>
      </c>
      <c r="D343" s="79" t="s">
        <v>116</v>
      </c>
      <c r="E343" s="63">
        <v>6</v>
      </c>
      <c r="F343" s="61">
        <v>2240</v>
      </c>
      <c r="G343" s="54"/>
    </row>
    <row r="344" spans="1:7" ht="16.5" customHeight="1">
      <c r="A344" s="24" t="s">
        <v>424</v>
      </c>
      <c r="B344" s="62" t="s">
        <v>271</v>
      </c>
      <c r="C344" s="62" t="s">
        <v>127</v>
      </c>
      <c r="D344" s="79" t="s">
        <v>116</v>
      </c>
      <c r="E344" s="63">
        <v>8</v>
      </c>
      <c r="F344" s="61">
        <v>2240</v>
      </c>
      <c r="G344" s="54"/>
    </row>
    <row r="345" spans="1:7" ht="29.25" customHeight="1">
      <c r="A345" s="24" t="s">
        <v>425</v>
      </c>
      <c r="B345" s="62" t="s">
        <v>271</v>
      </c>
      <c r="C345" s="62" t="s">
        <v>127</v>
      </c>
      <c r="D345" s="79" t="s">
        <v>116</v>
      </c>
      <c r="E345" s="63">
        <v>9.5</v>
      </c>
      <c r="F345" s="61">
        <v>2240</v>
      </c>
      <c r="G345" s="54"/>
    </row>
    <row r="346" spans="1:7" ht="16.5" customHeight="1">
      <c r="A346" s="24" t="s">
        <v>426</v>
      </c>
      <c r="B346" s="62" t="s">
        <v>271</v>
      </c>
      <c r="C346" s="62" t="s">
        <v>127</v>
      </c>
      <c r="D346" s="79" t="s">
        <v>116</v>
      </c>
      <c r="E346" s="63">
        <v>2.5</v>
      </c>
      <c r="F346" s="61">
        <v>2240</v>
      </c>
      <c r="G346" s="54"/>
    </row>
    <row r="347" spans="1:7" ht="30" customHeight="1">
      <c r="A347" s="24" t="s">
        <v>427</v>
      </c>
      <c r="B347" s="62" t="s">
        <v>271</v>
      </c>
      <c r="C347" s="62" t="s">
        <v>127</v>
      </c>
      <c r="D347" s="85" t="s">
        <v>116</v>
      </c>
      <c r="E347" s="63">
        <v>5</v>
      </c>
      <c r="F347" s="85">
        <v>2240</v>
      </c>
      <c r="G347" s="85"/>
    </row>
    <row r="348" spans="1:7" ht="30.75" customHeight="1">
      <c r="A348" s="24" t="s">
        <v>428</v>
      </c>
      <c r="B348" s="62" t="s">
        <v>271</v>
      </c>
      <c r="C348" s="62" t="s">
        <v>127</v>
      </c>
      <c r="D348" s="85" t="s">
        <v>116</v>
      </c>
      <c r="E348" s="63">
        <v>0.5</v>
      </c>
      <c r="F348" s="85">
        <v>2240</v>
      </c>
      <c r="G348" s="85"/>
    </row>
    <row r="349" spans="1:7" ht="17.25" customHeight="1">
      <c r="A349" s="24" t="s">
        <v>429</v>
      </c>
      <c r="B349" s="62" t="s">
        <v>271</v>
      </c>
      <c r="C349" s="62" t="s">
        <v>127</v>
      </c>
      <c r="D349" s="85" t="s">
        <v>116</v>
      </c>
      <c r="E349" s="63">
        <v>1</v>
      </c>
      <c r="F349" s="85">
        <v>2240</v>
      </c>
      <c r="G349" s="85"/>
    </row>
    <row r="350" spans="1:7" ht="17.25" customHeight="1">
      <c r="A350" s="24" t="s">
        <v>430</v>
      </c>
      <c r="B350" s="62" t="s">
        <v>271</v>
      </c>
      <c r="C350" s="62" t="s">
        <v>127</v>
      </c>
      <c r="D350" s="85" t="s">
        <v>116</v>
      </c>
      <c r="E350" s="63">
        <v>30</v>
      </c>
      <c r="F350" s="85">
        <v>2240</v>
      </c>
      <c r="G350" s="85"/>
    </row>
    <row r="351" spans="1:7" ht="34.5" customHeight="1" thickBot="1">
      <c r="A351" s="99" t="s">
        <v>545</v>
      </c>
      <c r="B351" s="94" t="s">
        <v>271</v>
      </c>
      <c r="C351" s="94" t="s">
        <v>127</v>
      </c>
      <c r="D351" s="95" t="s">
        <v>116</v>
      </c>
      <c r="E351" s="96">
        <v>134.8</v>
      </c>
      <c r="F351" s="95">
        <v>2240</v>
      </c>
      <c r="G351" s="95"/>
    </row>
    <row r="352" spans="1:7" ht="17.25" customHeight="1" thickBot="1">
      <c r="A352" s="203" t="s">
        <v>431</v>
      </c>
      <c r="B352" s="204"/>
      <c r="C352" s="204"/>
      <c r="D352" s="205"/>
      <c r="E352" s="47">
        <f>SUM(E336:E351)</f>
        <v>624.5</v>
      </c>
      <c r="F352" s="48"/>
      <c r="G352" s="49"/>
    </row>
    <row r="353" spans="1:7" ht="17.25" customHeight="1" thickBot="1">
      <c r="A353" s="209" t="s">
        <v>432</v>
      </c>
      <c r="B353" s="210"/>
      <c r="C353" s="210"/>
      <c r="D353" s="211"/>
      <c r="E353" s="68">
        <f>E335+E352</f>
        <v>2871.899999999999</v>
      </c>
      <c r="F353" s="48"/>
      <c r="G353" s="49"/>
    </row>
    <row r="354" spans="1:7" ht="17.25" customHeight="1">
      <c r="A354" s="38" t="s">
        <v>548</v>
      </c>
      <c r="B354" s="34" t="s">
        <v>159</v>
      </c>
      <c r="C354" s="34" t="s">
        <v>127</v>
      </c>
      <c r="D354" s="34" t="s">
        <v>116</v>
      </c>
      <c r="E354" s="65">
        <f>16.8-0.9-0.1</f>
        <v>15.8</v>
      </c>
      <c r="F354" s="106">
        <v>2250</v>
      </c>
      <c r="G354" s="69"/>
    </row>
    <row r="355" spans="1:7" ht="17.25" customHeight="1">
      <c r="A355" s="24" t="s">
        <v>549</v>
      </c>
      <c r="B355" s="19" t="s">
        <v>159</v>
      </c>
      <c r="C355" s="19" t="s">
        <v>127</v>
      </c>
      <c r="D355" s="19" t="s">
        <v>116</v>
      </c>
      <c r="E355" s="63">
        <f>5+0.1</f>
        <v>5.1</v>
      </c>
      <c r="F355" s="107">
        <v>2250</v>
      </c>
      <c r="G355" s="70"/>
    </row>
    <row r="356" spans="1:7" ht="25.5" customHeight="1">
      <c r="A356" s="90" t="s">
        <v>545</v>
      </c>
      <c r="B356" s="91" t="s">
        <v>159</v>
      </c>
      <c r="C356" s="91" t="s">
        <v>127</v>
      </c>
      <c r="D356" s="92" t="s">
        <v>116</v>
      </c>
      <c r="E356" s="93">
        <v>5.6</v>
      </c>
      <c r="F356" s="92">
        <v>2250</v>
      </c>
      <c r="G356" s="92"/>
    </row>
    <row r="357" spans="1:7" ht="18.75" customHeight="1">
      <c r="A357" s="24" t="s">
        <v>612</v>
      </c>
      <c r="B357" s="19" t="s">
        <v>159</v>
      </c>
      <c r="C357" s="19" t="s">
        <v>127</v>
      </c>
      <c r="D357" s="19" t="s">
        <v>116</v>
      </c>
      <c r="E357" s="63">
        <v>3.1</v>
      </c>
      <c r="F357" s="107">
        <v>2250</v>
      </c>
      <c r="G357" s="107"/>
    </row>
    <row r="358" spans="1:7" ht="19.5" customHeight="1" thickBot="1">
      <c r="A358" s="33" t="s">
        <v>613</v>
      </c>
      <c r="B358" s="19" t="s">
        <v>159</v>
      </c>
      <c r="C358" s="19" t="s">
        <v>127</v>
      </c>
      <c r="D358" s="19" t="s">
        <v>116</v>
      </c>
      <c r="E358" s="114">
        <v>1.2</v>
      </c>
      <c r="F358" s="107">
        <v>2250</v>
      </c>
      <c r="G358" s="105"/>
    </row>
    <row r="359" spans="1:7" ht="17.25" customHeight="1" thickBot="1">
      <c r="A359" s="203" t="s">
        <v>550</v>
      </c>
      <c r="B359" s="204"/>
      <c r="C359" s="204"/>
      <c r="D359" s="205"/>
      <c r="E359" s="47">
        <f>SUM(E354:E358)</f>
        <v>30.8</v>
      </c>
      <c r="F359" s="48"/>
      <c r="G359" s="49"/>
    </row>
    <row r="360" spans="1:7" ht="42" customHeight="1">
      <c r="A360" s="24" t="s">
        <v>164</v>
      </c>
      <c r="B360" s="19" t="s">
        <v>159</v>
      </c>
      <c r="C360" s="19" t="s">
        <v>127</v>
      </c>
      <c r="D360" s="19" t="s">
        <v>116</v>
      </c>
      <c r="E360" s="20">
        <f>60.7+17.4+3.7</f>
        <v>81.8</v>
      </c>
      <c r="F360" s="8">
        <v>2271</v>
      </c>
      <c r="G360" s="21"/>
    </row>
    <row r="361" spans="1:7" ht="66" customHeight="1">
      <c r="A361" s="24" t="s">
        <v>168</v>
      </c>
      <c r="B361" s="19" t="s">
        <v>159</v>
      </c>
      <c r="C361" s="19" t="s">
        <v>127</v>
      </c>
      <c r="D361" s="19" t="s">
        <v>116</v>
      </c>
      <c r="E361" s="20">
        <f>3.4+1+0.9</f>
        <v>5.300000000000001</v>
      </c>
      <c r="F361" s="8">
        <v>2272</v>
      </c>
      <c r="G361" s="21"/>
    </row>
    <row r="362" spans="1:7" ht="32.25" customHeight="1">
      <c r="A362" s="24" t="s">
        <v>165</v>
      </c>
      <c r="B362" s="19" t="s">
        <v>159</v>
      </c>
      <c r="C362" s="19" t="s">
        <v>127</v>
      </c>
      <c r="D362" s="19" t="s">
        <v>116</v>
      </c>
      <c r="E362" s="20">
        <f>37.2+5.3</f>
        <v>42.5</v>
      </c>
      <c r="F362" s="8">
        <v>2273</v>
      </c>
      <c r="G362" s="21"/>
    </row>
    <row r="363" spans="1:7" ht="57.75" customHeight="1">
      <c r="A363" s="25" t="s">
        <v>166</v>
      </c>
      <c r="B363" s="19" t="s">
        <v>159</v>
      </c>
      <c r="C363" s="19" t="s">
        <v>127</v>
      </c>
      <c r="D363" s="19" t="s">
        <v>116</v>
      </c>
      <c r="E363" s="20">
        <v>0.6</v>
      </c>
      <c r="F363" s="8">
        <v>2273</v>
      </c>
      <c r="G363" s="21"/>
    </row>
    <row r="364" spans="1:7" ht="29.25" customHeight="1">
      <c r="A364" s="25" t="s">
        <v>167</v>
      </c>
      <c r="B364" s="19" t="s">
        <v>159</v>
      </c>
      <c r="C364" s="19" t="s">
        <v>127</v>
      </c>
      <c r="D364" s="19" t="s">
        <v>116</v>
      </c>
      <c r="E364" s="20">
        <f>24.8+6.9+2.6</f>
        <v>34.300000000000004</v>
      </c>
      <c r="F364" s="8">
        <v>2273</v>
      </c>
      <c r="G364" s="21"/>
    </row>
    <row r="365" spans="1:7" ht="29.25" customHeight="1">
      <c r="A365" s="90" t="s">
        <v>547</v>
      </c>
      <c r="B365" s="91" t="s">
        <v>159</v>
      </c>
      <c r="C365" s="91" t="s">
        <v>127</v>
      </c>
      <c r="D365" s="91" t="s">
        <v>116</v>
      </c>
      <c r="E365" s="93">
        <v>4880.7</v>
      </c>
      <c r="F365" s="92">
        <v>2271</v>
      </c>
      <c r="G365" s="144"/>
    </row>
    <row r="366" spans="1:7" ht="81" customHeight="1">
      <c r="A366" s="121" t="s">
        <v>73</v>
      </c>
      <c r="B366" s="19" t="s">
        <v>159</v>
      </c>
      <c r="C366" s="19" t="s">
        <v>127</v>
      </c>
      <c r="D366" s="19" t="s">
        <v>708</v>
      </c>
      <c r="E366" s="63">
        <f>87+28+4.9</f>
        <v>119.9</v>
      </c>
      <c r="F366" s="151">
        <v>2274</v>
      </c>
      <c r="G366" s="118" t="s">
        <v>740</v>
      </c>
    </row>
    <row r="367" spans="1:7" ht="89.25" customHeight="1" thickBot="1">
      <c r="A367" s="142" t="s">
        <v>741</v>
      </c>
      <c r="B367" s="30" t="s">
        <v>159</v>
      </c>
      <c r="C367" s="30" t="s">
        <v>127</v>
      </c>
      <c r="D367" s="30" t="s">
        <v>727</v>
      </c>
      <c r="E367" s="114">
        <v>88.6</v>
      </c>
      <c r="F367" s="160">
        <v>2272</v>
      </c>
      <c r="G367" s="119" t="s">
        <v>742</v>
      </c>
    </row>
    <row r="368" spans="1:7" ht="15" customHeight="1" thickBot="1">
      <c r="A368" s="201" t="s">
        <v>181</v>
      </c>
      <c r="B368" s="202"/>
      <c r="C368" s="202"/>
      <c r="D368" s="202"/>
      <c r="E368" s="47">
        <f>SUM(E360:E367)</f>
        <v>5253.7</v>
      </c>
      <c r="F368" s="48"/>
      <c r="G368" s="49"/>
    </row>
    <row r="369" spans="1:7" ht="27" customHeight="1">
      <c r="A369" s="38" t="s">
        <v>363</v>
      </c>
      <c r="B369" s="101" t="s">
        <v>159</v>
      </c>
      <c r="C369" s="101" t="s">
        <v>127</v>
      </c>
      <c r="D369" s="101" t="s">
        <v>116</v>
      </c>
      <c r="E369" s="65">
        <f>13.6+1.7-3.5</f>
        <v>11.799999999999999</v>
      </c>
      <c r="F369" s="88">
        <v>2282</v>
      </c>
      <c r="G369" s="66"/>
    </row>
    <row r="370" spans="1:7" ht="27" customHeight="1">
      <c r="A370" s="24" t="s">
        <v>364</v>
      </c>
      <c r="B370" s="30" t="s">
        <v>159</v>
      </c>
      <c r="C370" s="30" t="s">
        <v>127</v>
      </c>
      <c r="D370" s="30" t="s">
        <v>116</v>
      </c>
      <c r="E370" s="63">
        <v>3.2</v>
      </c>
      <c r="F370" s="61">
        <v>2282</v>
      </c>
      <c r="G370" s="64"/>
    </row>
    <row r="371" spans="1:7" ht="42.75" customHeight="1">
      <c r="A371" s="24" t="s">
        <v>365</v>
      </c>
      <c r="B371" s="30" t="s">
        <v>159</v>
      </c>
      <c r="C371" s="30" t="s">
        <v>127</v>
      </c>
      <c r="D371" s="30" t="s">
        <v>116</v>
      </c>
      <c r="E371" s="63">
        <v>4.6</v>
      </c>
      <c r="F371" s="61">
        <v>2282</v>
      </c>
      <c r="G371" s="64"/>
    </row>
    <row r="372" spans="1:7" ht="27" customHeight="1">
      <c r="A372" s="24" t="s">
        <v>366</v>
      </c>
      <c r="B372" s="30" t="s">
        <v>159</v>
      </c>
      <c r="C372" s="30" t="s">
        <v>127</v>
      </c>
      <c r="D372" s="30" t="s">
        <v>116</v>
      </c>
      <c r="E372" s="63">
        <f>1.2-0.2</f>
        <v>1</v>
      </c>
      <c r="F372" s="61">
        <v>2282</v>
      </c>
      <c r="G372" s="64"/>
    </row>
    <row r="373" spans="1:7" ht="27" customHeight="1">
      <c r="A373" s="24" t="s">
        <v>367</v>
      </c>
      <c r="B373" s="19" t="s">
        <v>159</v>
      </c>
      <c r="C373" s="19" t="s">
        <v>127</v>
      </c>
      <c r="D373" s="19" t="s">
        <v>116</v>
      </c>
      <c r="E373" s="63">
        <f>0+0.5</f>
        <v>0.5</v>
      </c>
      <c r="F373" s="135">
        <v>2282</v>
      </c>
      <c r="G373" s="64"/>
    </row>
    <row r="374" spans="1:7" ht="26.25" customHeight="1" thickBot="1">
      <c r="A374" s="137" t="s">
        <v>699</v>
      </c>
      <c r="B374" s="19" t="s">
        <v>159</v>
      </c>
      <c r="C374" s="19" t="s">
        <v>127</v>
      </c>
      <c r="D374" s="19" t="s">
        <v>116</v>
      </c>
      <c r="E374" s="138">
        <f>20.9+0.2</f>
        <v>21.099999999999998</v>
      </c>
      <c r="F374" s="135">
        <v>2282</v>
      </c>
      <c r="G374" s="119"/>
    </row>
    <row r="375" spans="1:7" ht="15" customHeight="1" thickBot="1">
      <c r="A375" s="201" t="s">
        <v>368</v>
      </c>
      <c r="B375" s="202"/>
      <c r="C375" s="202"/>
      <c r="D375" s="202"/>
      <c r="E375" s="47">
        <f>SUM(E369:E374)</f>
        <v>42.2</v>
      </c>
      <c r="F375" s="48"/>
      <c r="G375" s="49"/>
    </row>
    <row r="376" spans="1:7" ht="63.75">
      <c r="A376" s="34" t="s">
        <v>171</v>
      </c>
      <c r="B376" s="34" t="s">
        <v>159</v>
      </c>
      <c r="C376" s="34" t="s">
        <v>127</v>
      </c>
      <c r="D376" s="34" t="s">
        <v>116</v>
      </c>
      <c r="E376" s="35">
        <v>48.7</v>
      </c>
      <c r="F376" s="36">
        <v>2230</v>
      </c>
      <c r="G376" s="37" t="s">
        <v>190</v>
      </c>
    </row>
    <row r="377" spans="1:7" ht="63.75">
      <c r="A377" s="19" t="s">
        <v>180</v>
      </c>
      <c r="B377" s="19" t="s">
        <v>159</v>
      </c>
      <c r="C377" s="19" t="s">
        <v>127</v>
      </c>
      <c r="D377" s="19" t="s">
        <v>116</v>
      </c>
      <c r="E377" s="20">
        <v>21.4</v>
      </c>
      <c r="F377" s="8">
        <v>2230</v>
      </c>
      <c r="G377" s="29" t="s">
        <v>198</v>
      </c>
    </row>
    <row r="378" spans="1:7" ht="63.75">
      <c r="A378" s="19" t="s">
        <v>182</v>
      </c>
      <c r="B378" s="19" t="s">
        <v>159</v>
      </c>
      <c r="C378" s="19" t="s">
        <v>127</v>
      </c>
      <c r="D378" s="19" t="s">
        <v>116</v>
      </c>
      <c r="E378" s="20">
        <v>31.1</v>
      </c>
      <c r="F378" s="8">
        <v>2230</v>
      </c>
      <c r="G378" s="53" t="s">
        <v>199</v>
      </c>
    </row>
    <row r="379" spans="1:7" ht="63.75">
      <c r="A379" s="19" t="s">
        <v>172</v>
      </c>
      <c r="B379" s="19" t="s">
        <v>159</v>
      </c>
      <c r="C379" s="19" t="s">
        <v>127</v>
      </c>
      <c r="D379" s="19" t="s">
        <v>116</v>
      </c>
      <c r="E379" s="20">
        <v>54.8</v>
      </c>
      <c r="F379" s="8">
        <v>2230</v>
      </c>
      <c r="G379" s="53" t="s">
        <v>196</v>
      </c>
    </row>
    <row r="380" spans="1:7" ht="63.75">
      <c r="A380" s="19" t="s">
        <v>173</v>
      </c>
      <c r="B380" s="19" t="s">
        <v>159</v>
      </c>
      <c r="C380" s="19" t="s">
        <v>127</v>
      </c>
      <c r="D380" s="19" t="s">
        <v>116</v>
      </c>
      <c r="E380" s="20">
        <v>6.6</v>
      </c>
      <c r="F380" s="8">
        <v>2230</v>
      </c>
      <c r="G380" s="53" t="s">
        <v>197</v>
      </c>
    </row>
    <row r="381" spans="1:7" ht="63.75">
      <c r="A381" s="19" t="s">
        <v>174</v>
      </c>
      <c r="B381" s="19" t="s">
        <v>159</v>
      </c>
      <c r="C381" s="19" t="s">
        <v>127</v>
      </c>
      <c r="D381" s="19" t="s">
        <v>116</v>
      </c>
      <c r="E381" s="20">
        <v>17.4</v>
      </c>
      <c r="F381" s="8">
        <v>2230</v>
      </c>
      <c r="G381" s="53" t="s">
        <v>195</v>
      </c>
    </row>
    <row r="382" spans="1:7" ht="63.75">
      <c r="A382" s="19" t="s">
        <v>175</v>
      </c>
      <c r="B382" s="19" t="s">
        <v>159</v>
      </c>
      <c r="C382" s="19" t="s">
        <v>127</v>
      </c>
      <c r="D382" s="19" t="s">
        <v>116</v>
      </c>
      <c r="E382" s="20">
        <v>99.5</v>
      </c>
      <c r="F382" s="8">
        <v>2230</v>
      </c>
      <c r="G382" s="53" t="s">
        <v>200</v>
      </c>
    </row>
    <row r="383" spans="1:7" ht="63.75">
      <c r="A383" s="19" t="s">
        <v>176</v>
      </c>
      <c r="B383" s="19" t="s">
        <v>159</v>
      </c>
      <c r="C383" s="19" t="s">
        <v>127</v>
      </c>
      <c r="D383" s="19" t="s">
        <v>116</v>
      </c>
      <c r="E383" s="20">
        <v>73.5</v>
      </c>
      <c r="F383" s="8">
        <v>2230</v>
      </c>
      <c r="G383" s="53" t="s">
        <v>194</v>
      </c>
    </row>
    <row r="384" spans="1:7" ht="76.5">
      <c r="A384" s="19" t="s">
        <v>177</v>
      </c>
      <c r="B384" s="19" t="s">
        <v>159</v>
      </c>
      <c r="C384" s="19" t="s">
        <v>127</v>
      </c>
      <c r="D384" s="19" t="s">
        <v>116</v>
      </c>
      <c r="E384" s="20">
        <v>73.9</v>
      </c>
      <c r="F384" s="8">
        <v>2230</v>
      </c>
      <c r="G384" s="29" t="s">
        <v>193</v>
      </c>
    </row>
    <row r="385" spans="1:7" ht="76.5">
      <c r="A385" s="19" t="s">
        <v>178</v>
      </c>
      <c r="B385" s="19" t="s">
        <v>159</v>
      </c>
      <c r="C385" s="19" t="s">
        <v>127</v>
      </c>
      <c r="D385" s="19" t="s">
        <v>116</v>
      </c>
      <c r="E385" s="20">
        <v>28.6</v>
      </c>
      <c r="F385" s="8">
        <v>2230</v>
      </c>
      <c r="G385" s="29" t="s">
        <v>191</v>
      </c>
    </row>
    <row r="386" spans="1:7" ht="76.5">
      <c r="A386" s="19" t="s">
        <v>179</v>
      </c>
      <c r="B386" s="19" t="s">
        <v>159</v>
      </c>
      <c r="C386" s="19" t="s">
        <v>127</v>
      </c>
      <c r="D386" s="19" t="s">
        <v>116</v>
      </c>
      <c r="E386" s="20">
        <v>82.2</v>
      </c>
      <c r="F386" s="8">
        <v>2230</v>
      </c>
      <c r="G386" s="29" t="s">
        <v>192</v>
      </c>
    </row>
    <row r="387" spans="1:7" ht="89.25">
      <c r="A387" s="19" t="s">
        <v>564</v>
      </c>
      <c r="B387" s="19" t="s">
        <v>159</v>
      </c>
      <c r="C387" s="19" t="s">
        <v>127</v>
      </c>
      <c r="D387" s="19" t="s">
        <v>116</v>
      </c>
      <c r="E387" s="20">
        <v>15.5</v>
      </c>
      <c r="F387" s="8">
        <v>2230</v>
      </c>
      <c r="G387" s="29" t="s">
        <v>565</v>
      </c>
    </row>
    <row r="388" spans="1:7" ht="29.25" customHeight="1">
      <c r="A388" s="91" t="s">
        <v>545</v>
      </c>
      <c r="B388" s="91" t="s">
        <v>159</v>
      </c>
      <c r="C388" s="91" t="s">
        <v>127</v>
      </c>
      <c r="D388" s="91" t="s">
        <v>116</v>
      </c>
      <c r="E388" s="93">
        <v>303.9</v>
      </c>
      <c r="F388" s="92">
        <v>2230</v>
      </c>
      <c r="G388" s="117"/>
    </row>
    <row r="389" spans="1:7" ht="73.5" customHeight="1">
      <c r="A389" s="120" t="s">
        <v>82</v>
      </c>
      <c r="B389" s="19" t="s">
        <v>159</v>
      </c>
      <c r="C389" s="19" t="s">
        <v>127</v>
      </c>
      <c r="D389" s="19" t="s">
        <v>116</v>
      </c>
      <c r="E389" s="63">
        <f>78+13.8-60</f>
        <v>31.799999999999997</v>
      </c>
      <c r="F389" s="8">
        <v>2230</v>
      </c>
      <c r="G389" s="118" t="s">
        <v>743</v>
      </c>
    </row>
    <row r="390" spans="1:7" ht="58.5" customHeight="1">
      <c r="A390" s="120" t="s">
        <v>78</v>
      </c>
      <c r="B390" s="19" t="s">
        <v>159</v>
      </c>
      <c r="C390" s="19" t="s">
        <v>127</v>
      </c>
      <c r="D390" s="19" t="s">
        <v>116</v>
      </c>
      <c r="E390" s="63">
        <f>96.5-96.5</f>
        <v>0</v>
      </c>
      <c r="F390" s="8">
        <v>2230</v>
      </c>
      <c r="G390" s="118"/>
    </row>
    <row r="391" spans="1:7" ht="87.75" customHeight="1">
      <c r="A391" s="121" t="s">
        <v>40</v>
      </c>
      <c r="B391" s="19" t="s">
        <v>159</v>
      </c>
      <c r="C391" s="19" t="s">
        <v>127</v>
      </c>
      <c r="D391" s="19" t="s">
        <v>116</v>
      </c>
      <c r="E391" s="63">
        <f>9+9</f>
        <v>18</v>
      </c>
      <c r="F391" s="8">
        <v>2230</v>
      </c>
      <c r="G391" s="118" t="s">
        <v>748</v>
      </c>
    </row>
    <row r="392" spans="1:7" ht="69" customHeight="1">
      <c r="A392" s="120" t="s">
        <v>641</v>
      </c>
      <c r="B392" s="19" t="s">
        <v>159</v>
      </c>
      <c r="C392" s="19" t="s">
        <v>127</v>
      </c>
      <c r="D392" s="19" t="s">
        <v>116</v>
      </c>
      <c r="E392" s="63">
        <f>98-98</f>
        <v>0</v>
      </c>
      <c r="F392" s="8">
        <v>2230</v>
      </c>
      <c r="G392" s="118"/>
    </row>
    <row r="393" spans="1:7" ht="44.25" customHeight="1">
      <c r="A393" s="120" t="s">
        <v>80</v>
      </c>
      <c r="B393" s="19" t="s">
        <v>159</v>
      </c>
      <c r="C393" s="19" t="s">
        <v>127</v>
      </c>
      <c r="D393" s="19" t="s">
        <v>116</v>
      </c>
      <c r="E393" s="63">
        <f>80-49.2-25.1</f>
        <v>5.699999999999996</v>
      </c>
      <c r="F393" s="8">
        <v>2230</v>
      </c>
      <c r="G393" s="118"/>
    </row>
    <row r="394" spans="1:7" ht="69.75" customHeight="1">
      <c r="A394" s="121" t="s">
        <v>642</v>
      </c>
      <c r="B394" s="19" t="s">
        <v>159</v>
      </c>
      <c r="C394" s="19" t="s">
        <v>127</v>
      </c>
      <c r="D394" s="19" t="s">
        <v>116</v>
      </c>
      <c r="E394" s="63">
        <f>74.7+33.3</f>
        <v>108</v>
      </c>
      <c r="F394" s="8">
        <v>2230</v>
      </c>
      <c r="G394" s="118" t="s">
        <v>744</v>
      </c>
    </row>
    <row r="395" spans="1:7" ht="36.75" customHeight="1">
      <c r="A395" s="121" t="s">
        <v>31</v>
      </c>
      <c r="B395" s="19" t="s">
        <v>159</v>
      </c>
      <c r="C395" s="19" t="s">
        <v>127</v>
      </c>
      <c r="D395" s="19" t="s">
        <v>116</v>
      </c>
      <c r="E395" s="63">
        <f>45.8-33.3</f>
        <v>12.5</v>
      </c>
      <c r="F395" s="8">
        <v>2230</v>
      </c>
      <c r="G395" s="118"/>
    </row>
    <row r="396" spans="1:7" ht="63" customHeight="1">
      <c r="A396" s="120" t="s">
        <v>75</v>
      </c>
      <c r="B396" s="19" t="s">
        <v>159</v>
      </c>
      <c r="C396" s="19" t="s">
        <v>127</v>
      </c>
      <c r="D396" s="19" t="s">
        <v>116</v>
      </c>
      <c r="E396" s="63">
        <f>94.8-26.8-40</f>
        <v>28</v>
      </c>
      <c r="F396" s="8">
        <v>2230</v>
      </c>
      <c r="G396" s="118"/>
    </row>
    <row r="397" spans="1:7" ht="36.75" customHeight="1">
      <c r="A397" s="121" t="s">
        <v>643</v>
      </c>
      <c r="B397" s="19" t="s">
        <v>159</v>
      </c>
      <c r="C397" s="19" t="s">
        <v>127</v>
      </c>
      <c r="D397" s="19" t="s">
        <v>116</v>
      </c>
      <c r="E397" s="63">
        <f>93.6-58.1-34.5</f>
        <v>0.9999999999999929</v>
      </c>
      <c r="F397" s="8">
        <v>2230</v>
      </c>
      <c r="G397" s="118"/>
    </row>
    <row r="398" spans="1:7" ht="66" customHeight="1">
      <c r="A398" s="120" t="s">
        <v>76</v>
      </c>
      <c r="B398" s="19" t="s">
        <v>159</v>
      </c>
      <c r="C398" s="19" t="s">
        <v>127</v>
      </c>
      <c r="D398" s="19" t="s">
        <v>116</v>
      </c>
      <c r="E398" s="63">
        <v>92</v>
      </c>
      <c r="F398" s="8">
        <v>2230</v>
      </c>
      <c r="G398" s="118" t="s">
        <v>713</v>
      </c>
    </row>
    <row r="399" spans="1:7" ht="60" customHeight="1">
      <c r="A399" s="121" t="s">
        <v>644</v>
      </c>
      <c r="B399" s="19" t="s">
        <v>159</v>
      </c>
      <c r="C399" s="19" t="s">
        <v>127</v>
      </c>
      <c r="D399" s="19" t="s">
        <v>116</v>
      </c>
      <c r="E399" s="63">
        <v>96.6</v>
      </c>
      <c r="F399" s="8">
        <v>2230</v>
      </c>
      <c r="G399" s="118" t="s">
        <v>718</v>
      </c>
    </row>
    <row r="400" spans="1:7" ht="57.75" customHeight="1">
      <c r="A400" s="121" t="s">
        <v>645</v>
      </c>
      <c r="B400" s="19" t="s">
        <v>159</v>
      </c>
      <c r="C400" s="19" t="s">
        <v>127</v>
      </c>
      <c r="D400" s="19" t="s">
        <v>116</v>
      </c>
      <c r="E400" s="63">
        <f>93.9-93.9</f>
        <v>0</v>
      </c>
      <c r="F400" s="8">
        <v>2230</v>
      </c>
      <c r="G400" s="118"/>
    </row>
    <row r="401" spans="1:7" ht="67.5" customHeight="1">
      <c r="A401" s="121" t="s">
        <v>646</v>
      </c>
      <c r="B401" s="19" t="s">
        <v>159</v>
      </c>
      <c r="C401" s="19" t="s">
        <v>127</v>
      </c>
      <c r="D401" s="19" t="s">
        <v>116</v>
      </c>
      <c r="E401" s="63">
        <v>98</v>
      </c>
      <c r="F401" s="8">
        <v>2230</v>
      </c>
      <c r="G401" s="118" t="s">
        <v>714</v>
      </c>
    </row>
    <row r="402" spans="1:7" ht="51.75" customHeight="1">
      <c r="A402" s="24" t="s">
        <v>647</v>
      </c>
      <c r="B402" s="19" t="s">
        <v>159</v>
      </c>
      <c r="C402" s="19" t="s">
        <v>127</v>
      </c>
      <c r="D402" s="19" t="s">
        <v>116</v>
      </c>
      <c r="E402" s="63">
        <f>50-50</f>
        <v>0</v>
      </c>
      <c r="F402" s="8">
        <v>2230</v>
      </c>
      <c r="G402" s="118"/>
    </row>
    <row r="403" spans="1:7" ht="94.5" customHeight="1">
      <c r="A403" s="24" t="s">
        <v>648</v>
      </c>
      <c r="B403" s="19" t="s">
        <v>159</v>
      </c>
      <c r="C403" s="19" t="s">
        <v>127</v>
      </c>
      <c r="D403" s="19" t="s">
        <v>116</v>
      </c>
      <c r="E403" s="114">
        <f>30-19.9</f>
        <v>10.100000000000001</v>
      </c>
      <c r="F403" s="8">
        <v>2230</v>
      </c>
      <c r="G403" s="119"/>
    </row>
    <row r="404" spans="1:7" ht="69" customHeight="1">
      <c r="A404" s="122" t="s">
        <v>649</v>
      </c>
      <c r="B404" s="19" t="s">
        <v>159</v>
      </c>
      <c r="C404" s="19" t="s">
        <v>127</v>
      </c>
      <c r="D404" s="19" t="s">
        <v>116</v>
      </c>
      <c r="E404" s="114">
        <v>42.2</v>
      </c>
      <c r="F404" s="8">
        <v>2230</v>
      </c>
      <c r="G404" s="119"/>
    </row>
    <row r="405" spans="1:7" ht="51.75" customHeight="1">
      <c r="A405" s="19" t="s">
        <v>650</v>
      </c>
      <c r="B405" s="19" t="s">
        <v>159</v>
      </c>
      <c r="C405" s="19" t="s">
        <v>127</v>
      </c>
      <c r="D405" s="19" t="s">
        <v>116</v>
      </c>
      <c r="E405" s="63">
        <f>20-19.4</f>
        <v>0.6000000000000014</v>
      </c>
      <c r="F405" s="8">
        <v>2230</v>
      </c>
      <c r="G405" s="118"/>
    </row>
    <row r="406" spans="1:7" ht="44.25" customHeight="1">
      <c r="A406" s="19" t="s">
        <v>179</v>
      </c>
      <c r="B406" s="19" t="s">
        <v>159</v>
      </c>
      <c r="C406" s="19" t="s">
        <v>127</v>
      </c>
      <c r="D406" s="19" t="s">
        <v>116</v>
      </c>
      <c r="E406" s="63">
        <f>10-9</f>
        <v>1</v>
      </c>
      <c r="F406" s="8">
        <v>2230</v>
      </c>
      <c r="G406" s="118"/>
    </row>
    <row r="407" spans="1:7" ht="87" customHeight="1">
      <c r="A407" s="19" t="s">
        <v>663</v>
      </c>
      <c r="B407" s="19" t="s">
        <v>159</v>
      </c>
      <c r="C407" s="19" t="s">
        <v>127</v>
      </c>
      <c r="D407" s="19" t="s">
        <v>116</v>
      </c>
      <c r="E407" s="63">
        <v>1.3</v>
      </c>
      <c r="F407" s="8">
        <v>2230</v>
      </c>
      <c r="G407" s="142" t="s">
        <v>701</v>
      </c>
    </row>
    <row r="408" spans="1:7" ht="84" customHeight="1">
      <c r="A408" s="19" t="s">
        <v>664</v>
      </c>
      <c r="B408" s="19" t="s">
        <v>159</v>
      </c>
      <c r="C408" s="19" t="s">
        <v>127</v>
      </c>
      <c r="D408" s="19" t="s">
        <v>116</v>
      </c>
      <c r="E408" s="63">
        <v>40</v>
      </c>
      <c r="F408" s="8">
        <v>2230</v>
      </c>
      <c r="G408" s="121" t="s">
        <v>700</v>
      </c>
    </row>
    <row r="409" spans="1:7" ht="69.75" customHeight="1">
      <c r="A409" s="121" t="s">
        <v>704</v>
      </c>
      <c r="B409" s="19" t="s">
        <v>159</v>
      </c>
      <c r="C409" s="19" t="s">
        <v>127</v>
      </c>
      <c r="D409" s="19" t="s">
        <v>116</v>
      </c>
      <c r="E409" s="63">
        <v>21.7</v>
      </c>
      <c r="F409" s="8">
        <v>2230</v>
      </c>
      <c r="G409" s="24" t="s">
        <v>711</v>
      </c>
    </row>
    <row r="410" spans="1:7" ht="69.75" customHeight="1">
      <c r="A410" s="120" t="s">
        <v>75</v>
      </c>
      <c r="B410" s="19" t="s">
        <v>159</v>
      </c>
      <c r="C410" s="19" t="s">
        <v>127</v>
      </c>
      <c r="D410" s="19" t="s">
        <v>116</v>
      </c>
      <c r="E410" s="63">
        <v>93.1</v>
      </c>
      <c r="F410" s="8">
        <v>2230</v>
      </c>
      <c r="G410" s="118" t="s">
        <v>717</v>
      </c>
    </row>
    <row r="411" spans="1:7" ht="79.5" customHeight="1">
      <c r="A411" s="120" t="s">
        <v>723</v>
      </c>
      <c r="B411" s="19" t="s">
        <v>159</v>
      </c>
      <c r="C411" s="19" t="s">
        <v>127</v>
      </c>
      <c r="D411" s="19" t="s">
        <v>116</v>
      </c>
      <c r="E411" s="63">
        <v>26.8</v>
      </c>
      <c r="F411" s="8">
        <v>2230</v>
      </c>
      <c r="G411" s="121" t="s">
        <v>731</v>
      </c>
    </row>
    <row r="412" spans="1:7" ht="62.25" customHeight="1">
      <c r="A412" s="120" t="s">
        <v>724</v>
      </c>
      <c r="B412" s="19" t="s">
        <v>159</v>
      </c>
      <c r="C412" s="19" t="s">
        <v>127</v>
      </c>
      <c r="D412" s="19" t="s">
        <v>116</v>
      </c>
      <c r="E412" s="63">
        <v>19.4</v>
      </c>
      <c r="F412" s="8">
        <v>2230</v>
      </c>
      <c r="G412" s="121" t="s">
        <v>732</v>
      </c>
    </row>
    <row r="413" spans="1:7" ht="66" customHeight="1">
      <c r="A413" s="19" t="s">
        <v>175</v>
      </c>
      <c r="B413" s="19" t="s">
        <v>159</v>
      </c>
      <c r="C413" s="19" t="s">
        <v>127</v>
      </c>
      <c r="D413" s="19" t="s">
        <v>116</v>
      </c>
      <c r="E413" s="63">
        <v>19.9</v>
      </c>
      <c r="F413" s="8">
        <v>2230</v>
      </c>
      <c r="G413" s="121" t="s">
        <v>733</v>
      </c>
    </row>
    <row r="414" spans="1:7" ht="66" customHeight="1">
      <c r="A414" s="19" t="s">
        <v>734</v>
      </c>
      <c r="B414" s="19" t="s">
        <v>159</v>
      </c>
      <c r="C414" s="19" t="s">
        <v>127</v>
      </c>
      <c r="D414" s="19" t="s">
        <v>116</v>
      </c>
      <c r="E414" s="63">
        <v>49.2</v>
      </c>
      <c r="F414" s="8">
        <v>2230</v>
      </c>
      <c r="G414" s="121" t="s">
        <v>735</v>
      </c>
    </row>
    <row r="415" spans="1:7" ht="66" customHeight="1">
      <c r="A415" s="120" t="s">
        <v>75</v>
      </c>
      <c r="B415" s="19" t="s">
        <v>159</v>
      </c>
      <c r="C415" s="19" t="s">
        <v>127</v>
      </c>
      <c r="D415" s="19" t="s">
        <v>116</v>
      </c>
      <c r="E415" s="63">
        <v>25.1</v>
      </c>
      <c r="F415" s="8">
        <v>2230</v>
      </c>
      <c r="G415" s="121" t="s">
        <v>746</v>
      </c>
    </row>
    <row r="416" spans="1:7" ht="66" customHeight="1">
      <c r="A416" s="121" t="s">
        <v>645</v>
      </c>
      <c r="B416" s="19" t="s">
        <v>159</v>
      </c>
      <c r="C416" s="19" t="s">
        <v>127</v>
      </c>
      <c r="D416" s="19" t="s">
        <v>116</v>
      </c>
      <c r="E416" s="63">
        <v>34.5</v>
      </c>
      <c r="F416" s="8">
        <v>2230</v>
      </c>
      <c r="G416" s="121" t="s">
        <v>747</v>
      </c>
    </row>
    <row r="417" spans="1:7" ht="66" customHeight="1">
      <c r="A417" s="120" t="s">
        <v>641</v>
      </c>
      <c r="B417" s="19" t="s">
        <v>159</v>
      </c>
      <c r="C417" s="19" t="s">
        <v>127</v>
      </c>
      <c r="D417" s="19" t="s">
        <v>116</v>
      </c>
      <c r="E417" s="63">
        <v>99.9</v>
      </c>
      <c r="F417" s="8">
        <v>2230</v>
      </c>
      <c r="G417" s="121" t="s">
        <v>745</v>
      </c>
    </row>
    <row r="418" spans="1:7" ht="13.5" thickBot="1">
      <c r="A418" s="198" t="s">
        <v>433</v>
      </c>
      <c r="B418" s="199"/>
      <c r="C418" s="199"/>
      <c r="D418" s="200"/>
      <c r="E418" s="152">
        <f>SUM(E376:E417)</f>
        <v>1833.4999999999998</v>
      </c>
      <c r="F418" s="153"/>
      <c r="G418" s="154"/>
    </row>
    <row r="419" spans="1:7" ht="13.5" thickBot="1">
      <c r="A419" s="139" t="s">
        <v>463</v>
      </c>
      <c r="B419" s="34" t="s">
        <v>159</v>
      </c>
      <c r="C419" s="34" t="s">
        <v>127</v>
      </c>
      <c r="D419" s="34" t="s">
        <v>116</v>
      </c>
      <c r="E419" s="140">
        <f>107.6+0.5+1.9+1.6</f>
        <v>111.6</v>
      </c>
      <c r="F419" s="74">
        <v>3110</v>
      </c>
      <c r="G419" s="141"/>
    </row>
    <row r="420" spans="1:7" ht="13.5" thickBot="1">
      <c r="A420" s="206" t="s">
        <v>702</v>
      </c>
      <c r="B420" s="207"/>
      <c r="C420" s="207"/>
      <c r="D420" s="208"/>
      <c r="E420" s="52">
        <f>SUM(E419)</f>
        <v>111.6</v>
      </c>
      <c r="F420" s="50"/>
      <c r="G420" s="51"/>
    </row>
    <row r="421" spans="1:7" ht="12.75">
      <c r="A421" s="73" t="s">
        <v>471</v>
      </c>
      <c r="B421" s="57" t="s">
        <v>271</v>
      </c>
      <c r="C421" s="36" t="s">
        <v>127</v>
      </c>
      <c r="D421" s="36" t="s">
        <v>116</v>
      </c>
      <c r="E421" s="76">
        <f>8.8+7.5</f>
        <v>16.3</v>
      </c>
      <c r="F421" s="74">
        <v>3110</v>
      </c>
      <c r="G421" s="69"/>
    </row>
    <row r="422" spans="1:7" ht="12.75">
      <c r="A422" s="71" t="s">
        <v>434</v>
      </c>
      <c r="B422" s="128" t="s">
        <v>271</v>
      </c>
      <c r="C422" s="8" t="s">
        <v>127</v>
      </c>
      <c r="D422" s="8" t="s">
        <v>116</v>
      </c>
      <c r="E422" s="77">
        <f>26.5-26.5</f>
        <v>0</v>
      </c>
      <c r="F422" s="72">
        <v>3110</v>
      </c>
      <c r="G422" s="70"/>
    </row>
    <row r="423" spans="1:7" ht="12.75">
      <c r="A423" s="71" t="s">
        <v>435</v>
      </c>
      <c r="B423" s="128" t="s">
        <v>271</v>
      </c>
      <c r="C423" s="8" t="s">
        <v>127</v>
      </c>
      <c r="D423" s="8" t="s">
        <v>116</v>
      </c>
      <c r="E423" s="77">
        <v>0</v>
      </c>
      <c r="F423" s="72">
        <v>3110</v>
      </c>
      <c r="G423" s="70"/>
    </row>
    <row r="424" spans="1:7" ht="12.75">
      <c r="A424" s="71" t="s">
        <v>411</v>
      </c>
      <c r="B424" s="57" t="s">
        <v>271</v>
      </c>
      <c r="C424" s="8" t="s">
        <v>127</v>
      </c>
      <c r="D424" s="8" t="s">
        <v>116</v>
      </c>
      <c r="E424" s="77">
        <f>7.5-7.5</f>
        <v>0</v>
      </c>
      <c r="F424" s="72">
        <v>3110</v>
      </c>
      <c r="G424" s="70"/>
    </row>
    <row r="425" spans="1:7" ht="12.75">
      <c r="A425" s="71" t="s">
        <v>436</v>
      </c>
      <c r="B425" s="57" t="s">
        <v>271</v>
      </c>
      <c r="C425" s="8" t="s">
        <v>127</v>
      </c>
      <c r="D425" s="8" t="s">
        <v>116</v>
      </c>
      <c r="E425" s="77">
        <v>2</v>
      </c>
      <c r="F425" s="72">
        <v>3110</v>
      </c>
      <c r="G425" s="70"/>
    </row>
    <row r="426" spans="1:7" ht="12.75">
      <c r="A426" s="71" t="s">
        <v>410</v>
      </c>
      <c r="B426" s="57" t="s">
        <v>271</v>
      </c>
      <c r="C426" s="8" t="s">
        <v>127</v>
      </c>
      <c r="D426" s="8" t="s">
        <v>116</v>
      </c>
      <c r="E426" s="77">
        <v>0</v>
      </c>
      <c r="F426" s="72">
        <v>3110</v>
      </c>
      <c r="G426" s="70"/>
    </row>
    <row r="427" spans="1:7" ht="12.75">
      <c r="A427" s="71" t="s">
        <v>410</v>
      </c>
      <c r="B427" s="57" t="s">
        <v>271</v>
      </c>
      <c r="C427" s="8" t="s">
        <v>127</v>
      </c>
      <c r="D427" s="8" t="s">
        <v>116</v>
      </c>
      <c r="E427" s="77">
        <v>0</v>
      </c>
      <c r="F427" s="72">
        <v>3110</v>
      </c>
      <c r="G427" s="70"/>
    </row>
    <row r="428" spans="1:7" ht="25.5">
      <c r="A428" s="87" t="s">
        <v>467</v>
      </c>
      <c r="B428" s="128" t="s">
        <v>271</v>
      </c>
      <c r="C428" s="8" t="s">
        <v>127</v>
      </c>
      <c r="D428" s="8" t="s">
        <v>116</v>
      </c>
      <c r="E428" s="77">
        <v>47</v>
      </c>
      <c r="F428" s="72">
        <v>3110</v>
      </c>
      <c r="G428" s="70"/>
    </row>
    <row r="429" spans="1:7" ht="27.75" customHeight="1">
      <c r="A429" s="90" t="s">
        <v>545</v>
      </c>
      <c r="B429" s="129" t="s">
        <v>271</v>
      </c>
      <c r="C429" s="92" t="s">
        <v>127</v>
      </c>
      <c r="D429" s="92" t="s">
        <v>116</v>
      </c>
      <c r="E429" s="130">
        <f>1713.2+4.2-40</f>
        <v>1677.4</v>
      </c>
      <c r="F429" s="129">
        <v>3110</v>
      </c>
      <c r="G429" s="98"/>
    </row>
    <row r="430" spans="1:7" ht="30.75" customHeight="1">
      <c r="A430" s="24" t="s">
        <v>672</v>
      </c>
      <c r="B430" s="128" t="s">
        <v>271</v>
      </c>
      <c r="C430" s="8" t="s">
        <v>127</v>
      </c>
      <c r="D430" s="8" t="s">
        <v>116</v>
      </c>
      <c r="E430" s="156">
        <v>43</v>
      </c>
      <c r="F430" s="126">
        <v>3110</v>
      </c>
      <c r="G430" s="70"/>
    </row>
    <row r="431" spans="1:7" ht="30.75" customHeight="1">
      <c r="A431" s="24" t="s">
        <v>737</v>
      </c>
      <c r="B431" s="128" t="s">
        <v>271</v>
      </c>
      <c r="C431" s="8" t="s">
        <v>127</v>
      </c>
      <c r="D431" s="8" t="s">
        <v>116</v>
      </c>
      <c r="E431" s="156">
        <v>2</v>
      </c>
      <c r="F431" s="126">
        <v>3110</v>
      </c>
      <c r="G431" s="70"/>
    </row>
    <row r="432" spans="1:7" ht="30.75" customHeight="1">
      <c r="A432" s="24" t="s">
        <v>546</v>
      </c>
      <c r="B432" s="128" t="s">
        <v>271</v>
      </c>
      <c r="C432" s="8" t="s">
        <v>127</v>
      </c>
      <c r="D432" s="8" t="s">
        <v>116</v>
      </c>
      <c r="E432" s="156">
        <v>26.5</v>
      </c>
      <c r="F432" s="126">
        <v>3110</v>
      </c>
      <c r="G432" s="70"/>
    </row>
    <row r="433" spans="1:7" ht="13.5" thickBot="1">
      <c r="A433" s="198" t="s">
        <v>437</v>
      </c>
      <c r="B433" s="199"/>
      <c r="C433" s="199"/>
      <c r="D433" s="200"/>
      <c r="E433" s="152">
        <f>SUM(E421:E431)</f>
        <v>1787.7</v>
      </c>
      <c r="F433" s="153"/>
      <c r="G433" s="154"/>
    </row>
    <row r="434" spans="1:7" ht="16.5" thickBot="1">
      <c r="A434" s="209" t="s">
        <v>703</v>
      </c>
      <c r="B434" s="210"/>
      <c r="C434" s="210"/>
      <c r="D434" s="211"/>
      <c r="E434" s="52">
        <f>E420+E433</f>
        <v>1899.3</v>
      </c>
      <c r="F434" s="50"/>
      <c r="G434" s="51"/>
    </row>
    <row r="435" spans="1:7" ht="25.5">
      <c r="A435" s="58" t="s">
        <v>201</v>
      </c>
      <c r="B435" s="57" t="s">
        <v>271</v>
      </c>
      <c r="C435" s="36" t="s">
        <v>127</v>
      </c>
      <c r="D435" s="36" t="s">
        <v>116</v>
      </c>
      <c r="E435" s="59">
        <v>250</v>
      </c>
      <c r="F435" s="57">
        <v>3132</v>
      </c>
      <c r="G435" s="55"/>
    </row>
    <row r="436" spans="1:7" ht="25.5">
      <c r="A436" s="58" t="s">
        <v>202</v>
      </c>
      <c r="B436" s="57" t="s">
        <v>271</v>
      </c>
      <c r="C436" s="8" t="s">
        <v>127</v>
      </c>
      <c r="D436" s="8" t="s">
        <v>116</v>
      </c>
      <c r="E436" s="59">
        <v>250</v>
      </c>
      <c r="F436" s="57">
        <v>3132</v>
      </c>
      <c r="G436" s="55"/>
    </row>
    <row r="437" spans="1:7" ht="25.5">
      <c r="A437" s="58" t="s">
        <v>203</v>
      </c>
      <c r="B437" s="57" t="s">
        <v>271</v>
      </c>
      <c r="C437" s="8" t="s">
        <v>127</v>
      </c>
      <c r="D437" s="8" t="s">
        <v>116</v>
      </c>
      <c r="E437" s="59">
        <v>120</v>
      </c>
      <c r="F437" s="57">
        <v>3132</v>
      </c>
      <c r="G437" s="55"/>
    </row>
    <row r="438" spans="1:7" ht="25.5">
      <c r="A438" s="58" t="s">
        <v>204</v>
      </c>
      <c r="B438" s="57" t="s">
        <v>271</v>
      </c>
      <c r="C438" s="8" t="s">
        <v>127</v>
      </c>
      <c r="D438" s="8" t="s">
        <v>116</v>
      </c>
      <c r="E438" s="59">
        <f>110-40.3</f>
        <v>69.7</v>
      </c>
      <c r="F438" s="57">
        <v>3132</v>
      </c>
      <c r="G438" s="55"/>
    </row>
    <row r="439" spans="1:7" ht="25.5">
      <c r="A439" s="58" t="s">
        <v>205</v>
      </c>
      <c r="B439" s="57" t="s">
        <v>271</v>
      </c>
      <c r="C439" s="8" t="s">
        <v>127</v>
      </c>
      <c r="D439" s="8" t="s">
        <v>116</v>
      </c>
      <c r="E439" s="59">
        <v>140</v>
      </c>
      <c r="F439" s="57">
        <v>3132</v>
      </c>
      <c r="G439" s="55"/>
    </row>
    <row r="440" spans="1:7" ht="25.5">
      <c r="A440" s="58" t="s">
        <v>206</v>
      </c>
      <c r="B440" s="57" t="s">
        <v>271</v>
      </c>
      <c r="C440" s="8" t="s">
        <v>127</v>
      </c>
      <c r="D440" s="8" t="s">
        <v>116</v>
      </c>
      <c r="E440" s="59">
        <v>30</v>
      </c>
      <c r="F440" s="57">
        <v>3132</v>
      </c>
      <c r="G440" s="55"/>
    </row>
    <row r="441" spans="1:7" ht="25.5">
      <c r="A441" s="58" t="s">
        <v>207</v>
      </c>
      <c r="B441" s="57" t="s">
        <v>271</v>
      </c>
      <c r="C441" s="8" t="s">
        <v>127</v>
      </c>
      <c r="D441" s="8" t="s">
        <v>116</v>
      </c>
      <c r="E441" s="59">
        <v>60</v>
      </c>
      <c r="F441" s="57">
        <v>3132</v>
      </c>
      <c r="G441" s="55"/>
    </row>
    <row r="442" spans="1:7" ht="25.5">
      <c r="A442" s="58" t="s">
        <v>208</v>
      </c>
      <c r="B442" s="57" t="s">
        <v>271</v>
      </c>
      <c r="C442" s="8" t="s">
        <v>127</v>
      </c>
      <c r="D442" s="8" t="s">
        <v>116</v>
      </c>
      <c r="E442" s="59">
        <v>55</v>
      </c>
      <c r="F442" s="57">
        <v>3132</v>
      </c>
      <c r="G442" s="55"/>
    </row>
    <row r="443" spans="1:7" ht="25.5">
      <c r="A443" s="58" t="s">
        <v>209</v>
      </c>
      <c r="B443" s="57" t="s">
        <v>271</v>
      </c>
      <c r="C443" s="8" t="s">
        <v>127</v>
      </c>
      <c r="D443" s="8" t="s">
        <v>116</v>
      </c>
      <c r="E443" s="59">
        <v>45</v>
      </c>
      <c r="F443" s="57">
        <v>3132</v>
      </c>
      <c r="G443" s="55"/>
    </row>
    <row r="444" spans="1:7" ht="25.5">
      <c r="A444" s="58" t="s">
        <v>210</v>
      </c>
      <c r="B444" s="57" t="s">
        <v>271</v>
      </c>
      <c r="C444" s="8" t="s">
        <v>127</v>
      </c>
      <c r="D444" s="8" t="s">
        <v>116</v>
      </c>
      <c r="E444" s="59">
        <v>65</v>
      </c>
      <c r="F444" s="57">
        <v>3132</v>
      </c>
      <c r="G444" s="55"/>
    </row>
    <row r="445" spans="1:7" ht="25.5">
      <c r="A445" s="58" t="s">
        <v>211</v>
      </c>
      <c r="B445" s="57" t="s">
        <v>271</v>
      </c>
      <c r="C445" s="8" t="s">
        <v>127</v>
      </c>
      <c r="D445" s="8" t="s">
        <v>116</v>
      </c>
      <c r="E445" s="59">
        <v>19</v>
      </c>
      <c r="F445" s="57">
        <v>3132</v>
      </c>
      <c r="G445" s="55"/>
    </row>
    <row r="446" spans="1:7" ht="25.5">
      <c r="A446" s="58" t="s">
        <v>212</v>
      </c>
      <c r="B446" s="57" t="s">
        <v>271</v>
      </c>
      <c r="C446" s="8" t="s">
        <v>127</v>
      </c>
      <c r="D446" s="8" t="s">
        <v>116</v>
      </c>
      <c r="E446" s="59">
        <v>120</v>
      </c>
      <c r="F446" s="57">
        <v>3132</v>
      </c>
      <c r="G446" s="55"/>
    </row>
    <row r="447" spans="1:7" ht="25.5">
      <c r="A447" s="58" t="s">
        <v>213</v>
      </c>
      <c r="B447" s="57" t="s">
        <v>271</v>
      </c>
      <c r="C447" s="8" t="s">
        <v>127</v>
      </c>
      <c r="D447" s="8" t="s">
        <v>116</v>
      </c>
      <c r="E447" s="59">
        <v>68</v>
      </c>
      <c r="F447" s="57">
        <v>3132</v>
      </c>
      <c r="G447" s="55"/>
    </row>
    <row r="448" spans="1:7" ht="25.5">
      <c r="A448" s="58" t="s">
        <v>214</v>
      </c>
      <c r="B448" s="57" t="s">
        <v>271</v>
      </c>
      <c r="C448" s="8" t="s">
        <v>127</v>
      </c>
      <c r="D448" s="8" t="s">
        <v>116</v>
      </c>
      <c r="E448" s="59">
        <v>85</v>
      </c>
      <c r="F448" s="57">
        <v>3132</v>
      </c>
      <c r="G448" s="55"/>
    </row>
    <row r="449" spans="1:7" ht="25.5">
      <c r="A449" s="58" t="s">
        <v>215</v>
      </c>
      <c r="B449" s="57" t="s">
        <v>271</v>
      </c>
      <c r="C449" s="8" t="s">
        <v>127</v>
      </c>
      <c r="D449" s="8" t="s">
        <v>116</v>
      </c>
      <c r="E449" s="59">
        <v>75</v>
      </c>
      <c r="F449" s="57">
        <v>3132</v>
      </c>
      <c r="G449" s="55"/>
    </row>
    <row r="450" spans="1:7" ht="25.5">
      <c r="A450" s="58" t="s">
        <v>216</v>
      </c>
      <c r="B450" s="57" t="s">
        <v>271</v>
      </c>
      <c r="C450" s="8" t="s">
        <v>127</v>
      </c>
      <c r="D450" s="8" t="s">
        <v>116</v>
      </c>
      <c r="E450" s="59">
        <v>250</v>
      </c>
      <c r="F450" s="57">
        <v>3132</v>
      </c>
      <c r="G450" s="55"/>
    </row>
    <row r="451" spans="1:7" ht="25.5">
      <c r="A451" s="58" t="s">
        <v>217</v>
      </c>
      <c r="B451" s="57" t="s">
        <v>271</v>
      </c>
      <c r="C451" s="8" t="s">
        <v>127</v>
      </c>
      <c r="D451" s="8" t="s">
        <v>116</v>
      </c>
      <c r="E451" s="59">
        <v>68</v>
      </c>
      <c r="F451" s="57">
        <v>3132</v>
      </c>
      <c r="G451" s="55"/>
    </row>
    <row r="452" spans="1:7" ht="25.5">
      <c r="A452" s="58" t="s">
        <v>218</v>
      </c>
      <c r="B452" s="57" t="s">
        <v>271</v>
      </c>
      <c r="C452" s="8" t="s">
        <v>127</v>
      </c>
      <c r="D452" s="8" t="s">
        <v>116</v>
      </c>
      <c r="E452" s="59">
        <v>85</v>
      </c>
      <c r="F452" s="57">
        <v>3132</v>
      </c>
      <c r="G452" s="55"/>
    </row>
    <row r="453" spans="1:7" ht="25.5">
      <c r="A453" s="58" t="s">
        <v>219</v>
      </c>
      <c r="B453" s="57" t="s">
        <v>271</v>
      </c>
      <c r="C453" s="8" t="s">
        <v>127</v>
      </c>
      <c r="D453" s="8" t="s">
        <v>116</v>
      </c>
      <c r="E453" s="59">
        <v>45</v>
      </c>
      <c r="F453" s="57">
        <v>3132</v>
      </c>
      <c r="G453" s="55"/>
    </row>
    <row r="454" spans="1:7" ht="25.5">
      <c r="A454" s="58" t="s">
        <v>220</v>
      </c>
      <c r="B454" s="57" t="s">
        <v>271</v>
      </c>
      <c r="C454" s="8" t="s">
        <v>127</v>
      </c>
      <c r="D454" s="8" t="s">
        <v>116</v>
      </c>
      <c r="E454" s="59">
        <v>60</v>
      </c>
      <c r="F454" s="57">
        <v>3132</v>
      </c>
      <c r="G454" s="55"/>
    </row>
    <row r="455" spans="1:7" ht="25.5">
      <c r="A455" s="25" t="s">
        <v>241</v>
      </c>
      <c r="B455" s="57" t="s">
        <v>271</v>
      </c>
      <c r="C455" s="8" t="s">
        <v>127</v>
      </c>
      <c r="D455" s="8" t="s">
        <v>116</v>
      </c>
      <c r="E455" s="60">
        <v>75</v>
      </c>
      <c r="F455" s="57">
        <v>3132</v>
      </c>
      <c r="G455" s="56"/>
    </row>
    <row r="456" spans="1:7" ht="25.5">
      <c r="A456" s="25" t="s">
        <v>242</v>
      </c>
      <c r="B456" s="57" t="s">
        <v>271</v>
      </c>
      <c r="C456" s="8" t="s">
        <v>127</v>
      </c>
      <c r="D456" s="8" t="s">
        <v>116</v>
      </c>
      <c r="E456" s="60">
        <v>85</v>
      </c>
      <c r="F456" s="57">
        <v>3132</v>
      </c>
      <c r="G456" s="56"/>
    </row>
    <row r="457" spans="1:7" ht="25.5">
      <c r="A457" s="25" t="s">
        <v>243</v>
      </c>
      <c r="B457" s="57" t="s">
        <v>271</v>
      </c>
      <c r="C457" s="8" t="s">
        <v>127</v>
      </c>
      <c r="D457" s="8" t="s">
        <v>116</v>
      </c>
      <c r="E457" s="60">
        <v>70</v>
      </c>
      <c r="F457" s="57">
        <v>3132</v>
      </c>
      <c r="G457" s="56"/>
    </row>
    <row r="458" spans="1:7" ht="25.5">
      <c r="A458" s="25" t="s">
        <v>244</v>
      </c>
      <c r="B458" s="57" t="s">
        <v>271</v>
      </c>
      <c r="C458" s="8" t="s">
        <v>127</v>
      </c>
      <c r="D458" s="8" t="s">
        <v>116</v>
      </c>
      <c r="E458" s="60">
        <v>40</v>
      </c>
      <c r="F458" s="57">
        <v>3132</v>
      </c>
      <c r="G458" s="56"/>
    </row>
    <row r="459" spans="1:7" ht="25.5">
      <c r="A459" s="25" t="s">
        <v>245</v>
      </c>
      <c r="B459" s="57" t="s">
        <v>271</v>
      </c>
      <c r="C459" s="8" t="s">
        <v>127</v>
      </c>
      <c r="D459" s="8" t="s">
        <v>116</v>
      </c>
      <c r="E459" s="60">
        <v>85</v>
      </c>
      <c r="F459" s="57">
        <v>3132</v>
      </c>
      <c r="G459" s="56"/>
    </row>
    <row r="460" spans="1:7" ht="25.5">
      <c r="A460" s="25" t="s">
        <v>246</v>
      </c>
      <c r="B460" s="57" t="s">
        <v>271</v>
      </c>
      <c r="C460" s="8" t="s">
        <v>127</v>
      </c>
      <c r="D460" s="8" t="s">
        <v>116</v>
      </c>
      <c r="E460" s="60">
        <v>120</v>
      </c>
      <c r="F460" s="57">
        <v>3132</v>
      </c>
      <c r="G460" s="56"/>
    </row>
    <row r="461" spans="1:7" ht="25.5">
      <c r="A461" s="25" t="s">
        <v>247</v>
      </c>
      <c r="B461" s="57" t="s">
        <v>271</v>
      </c>
      <c r="C461" s="8" t="s">
        <v>127</v>
      </c>
      <c r="D461" s="8" t="s">
        <v>116</v>
      </c>
      <c r="E461" s="60">
        <v>70</v>
      </c>
      <c r="F461" s="57">
        <v>3132</v>
      </c>
      <c r="G461" s="56"/>
    </row>
    <row r="462" spans="1:7" ht="25.5">
      <c r="A462" s="25" t="s">
        <v>248</v>
      </c>
      <c r="B462" s="57" t="s">
        <v>271</v>
      </c>
      <c r="C462" s="8" t="s">
        <v>127</v>
      </c>
      <c r="D462" s="8" t="s">
        <v>116</v>
      </c>
      <c r="E462" s="60">
        <v>70</v>
      </c>
      <c r="F462" s="57">
        <v>3132</v>
      </c>
      <c r="G462" s="56"/>
    </row>
    <row r="463" spans="1:7" ht="25.5">
      <c r="A463" s="25" t="s">
        <v>249</v>
      </c>
      <c r="B463" s="57" t="s">
        <v>271</v>
      </c>
      <c r="C463" s="8" t="s">
        <v>127</v>
      </c>
      <c r="D463" s="8" t="s">
        <v>116</v>
      </c>
      <c r="E463" s="60">
        <v>60</v>
      </c>
      <c r="F463" s="57">
        <v>3132</v>
      </c>
      <c r="G463" s="56"/>
    </row>
    <row r="464" spans="1:7" ht="25.5">
      <c r="A464" s="25" t="s">
        <v>250</v>
      </c>
      <c r="B464" s="57" t="s">
        <v>271</v>
      </c>
      <c r="C464" s="8" t="s">
        <v>127</v>
      </c>
      <c r="D464" s="8" t="s">
        <v>116</v>
      </c>
      <c r="E464" s="60">
        <v>60</v>
      </c>
      <c r="F464" s="57">
        <v>3132</v>
      </c>
      <c r="G464" s="56"/>
    </row>
    <row r="465" spans="1:7" ht="25.5">
      <c r="A465" s="25" t="s">
        <v>251</v>
      </c>
      <c r="B465" s="57" t="s">
        <v>271</v>
      </c>
      <c r="C465" s="8" t="s">
        <v>127</v>
      </c>
      <c r="D465" s="8" t="s">
        <v>116</v>
      </c>
      <c r="E465" s="60">
        <v>85</v>
      </c>
      <c r="F465" s="57">
        <v>3132</v>
      </c>
      <c r="G465" s="56"/>
    </row>
    <row r="466" spans="1:7" ht="12.75">
      <c r="A466" s="25" t="s">
        <v>221</v>
      </c>
      <c r="B466" s="57" t="s">
        <v>271</v>
      </c>
      <c r="C466" s="8" t="s">
        <v>127</v>
      </c>
      <c r="D466" s="8" t="s">
        <v>116</v>
      </c>
      <c r="E466" s="60">
        <f>177.6-177.6</f>
        <v>0</v>
      </c>
      <c r="F466" s="57">
        <v>3132</v>
      </c>
      <c r="G466" s="56"/>
    </row>
    <row r="467" spans="1:7" ht="12.75">
      <c r="A467" s="25" t="s">
        <v>222</v>
      </c>
      <c r="B467" s="57" t="s">
        <v>271</v>
      </c>
      <c r="C467" s="8" t="s">
        <v>127</v>
      </c>
      <c r="D467" s="8" t="s">
        <v>116</v>
      </c>
      <c r="E467" s="60">
        <f>90.4-90.4</f>
        <v>0</v>
      </c>
      <c r="F467" s="57">
        <v>3132</v>
      </c>
      <c r="G467" s="56"/>
    </row>
    <row r="468" spans="1:7" ht="12.75">
      <c r="A468" s="25" t="s">
        <v>223</v>
      </c>
      <c r="B468" s="57" t="s">
        <v>271</v>
      </c>
      <c r="C468" s="8" t="s">
        <v>127</v>
      </c>
      <c r="D468" s="8" t="s">
        <v>116</v>
      </c>
      <c r="E468" s="145">
        <f>179+776</f>
        <v>955</v>
      </c>
      <c r="F468" s="57">
        <v>3132</v>
      </c>
      <c r="G468" s="55"/>
    </row>
    <row r="469" spans="1:7" ht="25.5">
      <c r="A469" s="25" t="s">
        <v>224</v>
      </c>
      <c r="B469" s="57" t="s">
        <v>271</v>
      </c>
      <c r="C469" s="8" t="s">
        <v>127</v>
      </c>
      <c r="D469" s="8" t="s">
        <v>116</v>
      </c>
      <c r="E469" s="59">
        <f>324.7-324.7</f>
        <v>0</v>
      </c>
      <c r="F469" s="57">
        <v>3132</v>
      </c>
      <c r="G469" s="55"/>
    </row>
    <row r="470" spans="1:7" ht="12.75">
      <c r="A470" s="25" t="s">
        <v>225</v>
      </c>
      <c r="B470" s="57" t="s">
        <v>271</v>
      </c>
      <c r="C470" s="8" t="s">
        <v>127</v>
      </c>
      <c r="D470" s="8" t="s">
        <v>116</v>
      </c>
      <c r="E470" s="59">
        <f>183.7-183.7</f>
        <v>0</v>
      </c>
      <c r="F470" s="57">
        <v>3132</v>
      </c>
      <c r="G470" s="55"/>
    </row>
    <row r="471" spans="1:7" ht="12.75">
      <c r="A471" s="25" t="s">
        <v>226</v>
      </c>
      <c r="B471" s="57" t="s">
        <v>271</v>
      </c>
      <c r="C471" s="8" t="s">
        <v>127</v>
      </c>
      <c r="D471" s="8" t="s">
        <v>116</v>
      </c>
      <c r="E471" s="59">
        <f>102.9-102.9</f>
        <v>0</v>
      </c>
      <c r="F471" s="57">
        <v>3132</v>
      </c>
      <c r="G471" s="55"/>
    </row>
    <row r="472" spans="1:7" ht="12.75">
      <c r="A472" s="25" t="s">
        <v>227</v>
      </c>
      <c r="B472" s="57" t="s">
        <v>271</v>
      </c>
      <c r="C472" s="8" t="s">
        <v>127</v>
      </c>
      <c r="D472" s="8" t="s">
        <v>116</v>
      </c>
      <c r="E472" s="59">
        <f>55.9-55.9</f>
        <v>0</v>
      </c>
      <c r="F472" s="57">
        <v>3132</v>
      </c>
      <c r="G472" s="55"/>
    </row>
    <row r="473" spans="1:7" ht="12.75">
      <c r="A473" s="25" t="s">
        <v>228</v>
      </c>
      <c r="B473" s="57" t="s">
        <v>271</v>
      </c>
      <c r="C473" s="8" t="s">
        <v>127</v>
      </c>
      <c r="D473" s="8" t="s">
        <v>116</v>
      </c>
      <c r="E473" s="59">
        <f>295.1-295.1</f>
        <v>0</v>
      </c>
      <c r="F473" s="57">
        <v>3132</v>
      </c>
      <c r="G473" s="55"/>
    </row>
    <row r="474" spans="1:7" ht="12.75">
      <c r="A474" s="25" t="s">
        <v>229</v>
      </c>
      <c r="B474" s="57" t="s">
        <v>271</v>
      </c>
      <c r="C474" s="8" t="s">
        <v>127</v>
      </c>
      <c r="D474" s="8" t="s">
        <v>116</v>
      </c>
      <c r="E474" s="155">
        <f>356.8-348.4-8.4</f>
        <v>3.375077994860476E-14</v>
      </c>
      <c r="F474" s="57">
        <v>3132</v>
      </c>
      <c r="G474" s="55"/>
    </row>
    <row r="475" spans="1:7" ht="12.75">
      <c r="A475" s="25" t="s">
        <v>264</v>
      </c>
      <c r="B475" s="57" t="s">
        <v>271</v>
      </c>
      <c r="C475" s="8" t="s">
        <v>127</v>
      </c>
      <c r="D475" s="8" t="s">
        <v>116</v>
      </c>
      <c r="E475" s="59">
        <v>443.5</v>
      </c>
      <c r="F475" s="57">
        <v>3132</v>
      </c>
      <c r="G475" s="55"/>
    </row>
    <row r="476" spans="1:7" ht="12.75">
      <c r="A476" s="25" t="s">
        <v>265</v>
      </c>
      <c r="B476" s="57" t="s">
        <v>271</v>
      </c>
      <c r="C476" s="8" t="s">
        <v>127</v>
      </c>
      <c r="D476" s="8" t="s">
        <v>116</v>
      </c>
      <c r="E476" s="59">
        <v>121.2</v>
      </c>
      <c r="F476" s="57">
        <v>3132</v>
      </c>
      <c r="G476" s="55"/>
    </row>
    <row r="477" spans="1:7" ht="12.75">
      <c r="A477" s="25" t="s">
        <v>266</v>
      </c>
      <c r="B477" s="57" t="s">
        <v>271</v>
      </c>
      <c r="C477" s="8" t="s">
        <v>127</v>
      </c>
      <c r="D477" s="8" t="s">
        <v>116</v>
      </c>
      <c r="E477" s="59">
        <f>414.9-44.9</f>
        <v>370</v>
      </c>
      <c r="F477" s="57">
        <v>3132</v>
      </c>
      <c r="G477" s="55"/>
    </row>
    <row r="478" spans="1:7" ht="25.5">
      <c r="A478" s="25" t="s">
        <v>267</v>
      </c>
      <c r="B478" s="57" t="s">
        <v>271</v>
      </c>
      <c r="C478" s="8" t="s">
        <v>127</v>
      </c>
      <c r="D478" s="8" t="s">
        <v>116</v>
      </c>
      <c r="E478" s="59">
        <v>223.6</v>
      </c>
      <c r="F478" s="57">
        <v>3132</v>
      </c>
      <c r="G478" s="55"/>
    </row>
    <row r="479" spans="1:7" ht="25.5">
      <c r="A479" s="25" t="s">
        <v>268</v>
      </c>
      <c r="B479" s="57" t="s">
        <v>271</v>
      </c>
      <c r="C479" s="8" t="s">
        <v>127</v>
      </c>
      <c r="D479" s="8" t="s">
        <v>116</v>
      </c>
      <c r="E479" s="59">
        <v>297.5</v>
      </c>
      <c r="F479" s="57">
        <v>3132</v>
      </c>
      <c r="G479" s="55"/>
    </row>
    <row r="480" spans="1:7" ht="12.75">
      <c r="A480" s="25" t="s">
        <v>230</v>
      </c>
      <c r="B480" s="57" t="s">
        <v>271</v>
      </c>
      <c r="C480" s="8" t="s">
        <v>127</v>
      </c>
      <c r="D480" s="8" t="s">
        <v>116</v>
      </c>
      <c r="E480" s="60">
        <v>39.7</v>
      </c>
      <c r="F480" s="57">
        <v>3132</v>
      </c>
      <c r="G480" s="56"/>
    </row>
    <row r="481" spans="1:7" ht="25.5">
      <c r="A481" s="25" t="s">
        <v>231</v>
      </c>
      <c r="B481" s="57" t="s">
        <v>271</v>
      </c>
      <c r="C481" s="8" t="s">
        <v>127</v>
      </c>
      <c r="D481" s="8" t="s">
        <v>116</v>
      </c>
      <c r="E481" s="60">
        <v>16.2</v>
      </c>
      <c r="F481" s="57">
        <v>3132</v>
      </c>
      <c r="G481" s="56"/>
    </row>
    <row r="482" spans="1:7" ht="25.5">
      <c r="A482" s="25" t="s">
        <v>232</v>
      </c>
      <c r="B482" s="57" t="s">
        <v>271</v>
      </c>
      <c r="C482" s="8" t="s">
        <v>127</v>
      </c>
      <c r="D482" s="8" t="s">
        <v>116</v>
      </c>
      <c r="E482" s="60">
        <v>5</v>
      </c>
      <c r="F482" s="57">
        <v>3132</v>
      </c>
      <c r="G482" s="56"/>
    </row>
    <row r="483" spans="1:7" ht="25.5">
      <c r="A483" s="25" t="s">
        <v>233</v>
      </c>
      <c r="B483" s="57" t="s">
        <v>271</v>
      </c>
      <c r="C483" s="8" t="s">
        <v>127</v>
      </c>
      <c r="D483" s="8" t="s">
        <v>116</v>
      </c>
      <c r="E483" s="60">
        <v>40</v>
      </c>
      <c r="F483" s="57">
        <v>3132</v>
      </c>
      <c r="G483" s="56"/>
    </row>
    <row r="484" spans="1:7" ht="25.5">
      <c r="A484" s="25" t="s">
        <v>234</v>
      </c>
      <c r="B484" s="57" t="s">
        <v>271</v>
      </c>
      <c r="C484" s="8" t="s">
        <v>127</v>
      </c>
      <c r="D484" s="8" t="s">
        <v>116</v>
      </c>
      <c r="E484" s="60">
        <v>40</v>
      </c>
      <c r="F484" s="57">
        <v>3132</v>
      </c>
      <c r="G484" s="56"/>
    </row>
    <row r="485" spans="1:7" ht="25.5">
      <c r="A485" s="25" t="s">
        <v>235</v>
      </c>
      <c r="B485" s="57" t="s">
        <v>271</v>
      </c>
      <c r="C485" s="8" t="s">
        <v>127</v>
      </c>
      <c r="D485" s="8" t="s">
        <v>116</v>
      </c>
      <c r="E485" s="60">
        <v>40</v>
      </c>
      <c r="F485" s="57">
        <v>3132</v>
      </c>
      <c r="G485" s="56"/>
    </row>
    <row r="486" spans="1:7" ht="25.5">
      <c r="A486" s="25" t="s">
        <v>236</v>
      </c>
      <c r="B486" s="57" t="s">
        <v>271</v>
      </c>
      <c r="C486" s="8" t="s">
        <v>127</v>
      </c>
      <c r="D486" s="8" t="s">
        <v>116</v>
      </c>
      <c r="E486" s="60">
        <v>40</v>
      </c>
      <c r="F486" s="57">
        <v>3132</v>
      </c>
      <c r="G486" s="56"/>
    </row>
    <row r="487" spans="1:7" ht="25.5">
      <c r="A487" s="25" t="s">
        <v>237</v>
      </c>
      <c r="B487" s="57" t="s">
        <v>271</v>
      </c>
      <c r="C487" s="8" t="s">
        <v>127</v>
      </c>
      <c r="D487" s="8" t="s">
        <v>116</v>
      </c>
      <c r="E487" s="60">
        <v>40</v>
      </c>
      <c r="F487" s="57">
        <v>3132</v>
      </c>
      <c r="G487" s="56"/>
    </row>
    <row r="488" spans="1:7" ht="12.75">
      <c r="A488" s="25" t="s">
        <v>238</v>
      </c>
      <c r="B488" s="57" t="s">
        <v>271</v>
      </c>
      <c r="C488" s="8" t="s">
        <v>127</v>
      </c>
      <c r="D488" s="8" t="s">
        <v>116</v>
      </c>
      <c r="E488" s="60">
        <f>260.9-260.9</f>
        <v>0</v>
      </c>
      <c r="F488" s="57">
        <v>3132</v>
      </c>
      <c r="G488" s="56"/>
    </row>
    <row r="489" spans="1:7" ht="12.75">
      <c r="A489" s="25" t="s">
        <v>239</v>
      </c>
      <c r="B489" s="57" t="s">
        <v>271</v>
      </c>
      <c r="C489" s="8" t="s">
        <v>127</v>
      </c>
      <c r="D489" s="8" t="s">
        <v>116</v>
      </c>
      <c r="E489" s="60">
        <f>260.9-260.9</f>
        <v>0</v>
      </c>
      <c r="F489" s="57">
        <v>3132</v>
      </c>
      <c r="G489" s="56"/>
    </row>
    <row r="490" spans="1:7" ht="12.75">
      <c r="A490" s="25" t="s">
        <v>240</v>
      </c>
      <c r="B490" s="57" t="s">
        <v>271</v>
      </c>
      <c r="C490" s="8" t="s">
        <v>127</v>
      </c>
      <c r="D490" s="8" t="s">
        <v>116</v>
      </c>
      <c r="E490" s="60">
        <f>260.9-260.9</f>
        <v>0</v>
      </c>
      <c r="F490" s="57">
        <v>3132</v>
      </c>
      <c r="G490" s="56"/>
    </row>
    <row r="491" spans="1:7" ht="38.25">
      <c r="A491" s="25" t="s">
        <v>252</v>
      </c>
      <c r="B491" s="57" t="s">
        <v>271</v>
      </c>
      <c r="C491" s="8" t="s">
        <v>127</v>
      </c>
      <c r="D491" s="8" t="s">
        <v>116</v>
      </c>
      <c r="E491" s="60">
        <v>130</v>
      </c>
      <c r="F491" s="57">
        <v>3132</v>
      </c>
      <c r="G491" s="56"/>
    </row>
    <row r="492" spans="1:7" ht="25.5">
      <c r="A492" s="25" t="s">
        <v>253</v>
      </c>
      <c r="B492" s="57" t="s">
        <v>271</v>
      </c>
      <c r="C492" s="8" t="s">
        <v>127</v>
      </c>
      <c r="D492" s="8" t="s">
        <v>116</v>
      </c>
      <c r="E492" s="60">
        <v>40</v>
      </c>
      <c r="F492" s="57">
        <v>3132</v>
      </c>
      <c r="G492" s="56"/>
    </row>
    <row r="493" spans="1:7" ht="25.5">
      <c r="A493" s="25" t="s">
        <v>254</v>
      </c>
      <c r="B493" s="57" t="s">
        <v>271</v>
      </c>
      <c r="C493" s="8" t="s">
        <v>127</v>
      </c>
      <c r="D493" s="8" t="s">
        <v>116</v>
      </c>
      <c r="E493" s="60">
        <v>40</v>
      </c>
      <c r="F493" s="57">
        <v>3132</v>
      </c>
      <c r="G493" s="56"/>
    </row>
    <row r="494" spans="1:7" ht="25.5">
      <c r="A494" s="25" t="s">
        <v>255</v>
      </c>
      <c r="B494" s="57" t="s">
        <v>271</v>
      </c>
      <c r="C494" s="8" t="s">
        <v>127</v>
      </c>
      <c r="D494" s="8" t="s">
        <v>116</v>
      </c>
      <c r="E494" s="60">
        <v>45</v>
      </c>
      <c r="F494" s="57">
        <v>3132</v>
      </c>
      <c r="G494" s="56"/>
    </row>
    <row r="495" spans="1:7" ht="25.5">
      <c r="A495" s="25" t="s">
        <v>256</v>
      </c>
      <c r="B495" s="57" t="s">
        <v>271</v>
      </c>
      <c r="C495" s="8" t="s">
        <v>127</v>
      </c>
      <c r="D495" s="8" t="s">
        <v>116</v>
      </c>
      <c r="E495" s="60">
        <v>140</v>
      </c>
      <c r="F495" s="57">
        <v>3132</v>
      </c>
      <c r="G495" s="56"/>
    </row>
    <row r="496" spans="1:7" ht="25.5">
      <c r="A496" s="25" t="s">
        <v>257</v>
      </c>
      <c r="B496" s="57" t="s">
        <v>271</v>
      </c>
      <c r="C496" s="8" t="s">
        <v>127</v>
      </c>
      <c r="D496" s="8" t="s">
        <v>116</v>
      </c>
      <c r="E496" s="60">
        <v>35</v>
      </c>
      <c r="F496" s="57">
        <v>3132</v>
      </c>
      <c r="G496" s="56"/>
    </row>
    <row r="497" spans="1:7" ht="25.5">
      <c r="A497" s="25" t="s">
        <v>258</v>
      </c>
      <c r="B497" s="57" t="s">
        <v>271</v>
      </c>
      <c r="C497" s="8" t="s">
        <v>127</v>
      </c>
      <c r="D497" s="8" t="s">
        <v>116</v>
      </c>
      <c r="E497" s="60">
        <v>50</v>
      </c>
      <c r="F497" s="57">
        <v>3132</v>
      </c>
      <c r="G497" s="56"/>
    </row>
    <row r="498" spans="1:7" ht="25.5">
      <c r="A498" s="25" t="s">
        <v>259</v>
      </c>
      <c r="B498" s="57" t="s">
        <v>271</v>
      </c>
      <c r="C498" s="8" t="s">
        <v>127</v>
      </c>
      <c r="D498" s="8" t="s">
        <v>116</v>
      </c>
      <c r="E498" s="60">
        <v>220</v>
      </c>
      <c r="F498" s="57">
        <v>3132</v>
      </c>
      <c r="G498" s="56"/>
    </row>
    <row r="499" spans="1:7" ht="25.5">
      <c r="A499" s="25" t="s">
        <v>260</v>
      </c>
      <c r="B499" s="57" t="s">
        <v>271</v>
      </c>
      <c r="C499" s="8" t="s">
        <v>127</v>
      </c>
      <c r="D499" s="8" t="s">
        <v>116</v>
      </c>
      <c r="E499" s="60">
        <v>150</v>
      </c>
      <c r="F499" s="57">
        <v>3132</v>
      </c>
      <c r="G499" s="56"/>
    </row>
    <row r="500" spans="1:7" ht="25.5">
      <c r="A500" s="25" t="s">
        <v>261</v>
      </c>
      <c r="B500" s="57" t="s">
        <v>271</v>
      </c>
      <c r="C500" s="8" t="s">
        <v>127</v>
      </c>
      <c r="D500" s="8" t="s">
        <v>116</v>
      </c>
      <c r="E500" s="60">
        <v>210</v>
      </c>
      <c r="F500" s="57">
        <v>3132</v>
      </c>
      <c r="G500" s="56"/>
    </row>
    <row r="501" spans="1:7" ht="25.5">
      <c r="A501" s="25" t="s">
        <v>262</v>
      </c>
      <c r="B501" s="57" t="s">
        <v>271</v>
      </c>
      <c r="C501" s="8" t="s">
        <v>127</v>
      </c>
      <c r="D501" s="8" t="s">
        <v>116</v>
      </c>
      <c r="E501" s="60">
        <v>195</v>
      </c>
      <c r="F501" s="57">
        <v>3132</v>
      </c>
      <c r="G501" s="56"/>
    </row>
    <row r="502" spans="1:7" ht="25.5">
      <c r="A502" s="25" t="s">
        <v>263</v>
      </c>
      <c r="B502" s="57" t="s">
        <v>271</v>
      </c>
      <c r="C502" s="8" t="s">
        <v>127</v>
      </c>
      <c r="D502" s="8" t="s">
        <v>116</v>
      </c>
      <c r="E502" s="60">
        <v>200</v>
      </c>
      <c r="F502" s="57">
        <v>3132</v>
      </c>
      <c r="G502" s="56"/>
    </row>
    <row r="503" spans="1:7" ht="25.5">
      <c r="A503" s="25" t="s">
        <v>269</v>
      </c>
      <c r="B503" s="57" t="s">
        <v>271</v>
      </c>
      <c r="C503" s="8" t="s">
        <v>127</v>
      </c>
      <c r="D503" s="8" t="s">
        <v>116</v>
      </c>
      <c r="E503" s="60">
        <v>51</v>
      </c>
      <c r="F503" s="57">
        <v>3132</v>
      </c>
      <c r="G503" s="56"/>
    </row>
    <row r="504" spans="1:7" ht="38.25">
      <c r="A504" s="25" t="s">
        <v>694</v>
      </c>
      <c r="B504" s="57" t="s">
        <v>271</v>
      </c>
      <c r="C504" s="8" t="s">
        <v>127</v>
      </c>
      <c r="D504" s="8" t="s">
        <v>116</v>
      </c>
      <c r="E504" s="60">
        <f>85+40.3</f>
        <v>125.3</v>
      </c>
      <c r="F504" s="57">
        <v>3132</v>
      </c>
      <c r="G504" s="56"/>
    </row>
    <row r="505" spans="1:7" ht="38.25">
      <c r="A505" s="25" t="s">
        <v>270</v>
      </c>
      <c r="B505" s="57" t="s">
        <v>271</v>
      </c>
      <c r="C505" s="8" t="s">
        <v>127</v>
      </c>
      <c r="D505" s="8" t="s">
        <v>116</v>
      </c>
      <c r="E505" s="60">
        <v>85</v>
      </c>
      <c r="F505" s="57">
        <v>3132</v>
      </c>
      <c r="G505" s="56"/>
    </row>
    <row r="506" spans="1:7" ht="25.5">
      <c r="A506" s="90" t="s">
        <v>545</v>
      </c>
      <c r="B506" s="100" t="s">
        <v>271</v>
      </c>
      <c r="C506" s="92" t="s">
        <v>127</v>
      </c>
      <c r="D506" s="92" t="s">
        <v>116</v>
      </c>
      <c r="E506" s="98">
        <v>1473.3</v>
      </c>
      <c r="F506" s="97">
        <v>3132</v>
      </c>
      <c r="G506" s="98"/>
    </row>
    <row r="507" spans="1:7" ht="114.75">
      <c r="A507" s="24" t="s">
        <v>669</v>
      </c>
      <c r="B507" s="57" t="s">
        <v>271</v>
      </c>
      <c r="C507" s="8" t="s">
        <v>127</v>
      </c>
      <c r="D507" s="8" t="s">
        <v>116</v>
      </c>
      <c r="E507" s="126">
        <f>553.6-115.7</f>
        <v>437.90000000000003</v>
      </c>
      <c r="F507" s="126">
        <v>3132</v>
      </c>
      <c r="G507" s="70"/>
    </row>
    <row r="508" spans="1:7" ht="76.5">
      <c r="A508" s="24" t="s">
        <v>665</v>
      </c>
      <c r="B508" s="57" t="s">
        <v>271</v>
      </c>
      <c r="C508" s="8" t="s">
        <v>127</v>
      </c>
      <c r="D508" s="8" t="s">
        <v>116</v>
      </c>
      <c r="E508" s="126">
        <v>457.1</v>
      </c>
      <c r="F508" s="126">
        <v>3132</v>
      </c>
      <c r="G508" s="70"/>
    </row>
    <row r="509" spans="1:7" ht="114.75">
      <c r="A509" s="24" t="s">
        <v>671</v>
      </c>
      <c r="B509" s="57" t="s">
        <v>271</v>
      </c>
      <c r="C509" s="8" t="s">
        <v>127</v>
      </c>
      <c r="D509" s="8" t="s">
        <v>116</v>
      </c>
      <c r="E509" s="127">
        <f>595-83.8</f>
        <v>511.2</v>
      </c>
      <c r="F509" s="126">
        <v>3132</v>
      </c>
      <c r="G509" s="70"/>
    </row>
    <row r="510" spans="1:7" ht="114.75">
      <c r="A510" s="24" t="s">
        <v>670</v>
      </c>
      <c r="B510" s="57" t="s">
        <v>271</v>
      </c>
      <c r="C510" s="8" t="s">
        <v>127</v>
      </c>
      <c r="D510" s="8" t="s">
        <v>116</v>
      </c>
      <c r="E510" s="126">
        <f>641.5-142.6</f>
        <v>498.9</v>
      </c>
      <c r="F510" s="126">
        <v>3132</v>
      </c>
      <c r="G510" s="70"/>
    </row>
    <row r="511" spans="1:7" ht="76.5">
      <c r="A511" s="24" t="s">
        <v>750</v>
      </c>
      <c r="B511" s="57" t="s">
        <v>271</v>
      </c>
      <c r="C511" s="8" t="s">
        <v>127</v>
      </c>
      <c r="D511" s="8" t="s">
        <v>116</v>
      </c>
      <c r="E511" s="127">
        <f>796-111.1</f>
        <v>684.9</v>
      </c>
      <c r="F511" s="126">
        <v>3132</v>
      </c>
      <c r="G511" s="70"/>
    </row>
    <row r="512" spans="1:7" ht="38.25">
      <c r="A512" s="24" t="s">
        <v>666</v>
      </c>
      <c r="B512" s="128" t="s">
        <v>271</v>
      </c>
      <c r="C512" s="8" t="s">
        <v>127</v>
      </c>
      <c r="D512" s="8" t="s">
        <v>116</v>
      </c>
      <c r="E512" s="126">
        <v>9.5</v>
      </c>
      <c r="F512" s="126">
        <v>3132</v>
      </c>
      <c r="G512" s="70"/>
    </row>
    <row r="513" spans="1:7" ht="38.25">
      <c r="A513" s="24" t="s">
        <v>667</v>
      </c>
      <c r="B513" s="128" t="s">
        <v>271</v>
      </c>
      <c r="C513" s="8" t="s">
        <v>127</v>
      </c>
      <c r="D513" s="8" t="s">
        <v>116</v>
      </c>
      <c r="E513" s="126">
        <f>15.6+12.2</f>
        <v>27.799999999999997</v>
      </c>
      <c r="F513" s="126">
        <v>3132</v>
      </c>
      <c r="G513" s="70"/>
    </row>
    <row r="514" spans="1:7" ht="38.25">
      <c r="A514" s="24" t="s">
        <v>668</v>
      </c>
      <c r="B514" s="128" t="s">
        <v>271</v>
      </c>
      <c r="C514" s="8" t="s">
        <v>127</v>
      </c>
      <c r="D514" s="8" t="s">
        <v>116</v>
      </c>
      <c r="E514" s="126">
        <f>20.4+4.6</f>
        <v>25</v>
      </c>
      <c r="F514" s="126">
        <v>3132</v>
      </c>
      <c r="G514" s="70"/>
    </row>
    <row r="515" spans="1:7" ht="25.5">
      <c r="A515" s="24" t="s">
        <v>685</v>
      </c>
      <c r="B515" s="128" t="s">
        <v>271</v>
      </c>
      <c r="C515" s="8" t="s">
        <v>127</v>
      </c>
      <c r="D515" s="8" t="s">
        <v>116</v>
      </c>
      <c r="E515" s="126">
        <v>48.9</v>
      </c>
      <c r="F515" s="126">
        <v>3132</v>
      </c>
      <c r="G515" s="70"/>
    </row>
    <row r="516" spans="1:7" ht="57" customHeight="1">
      <c r="A516" s="24" t="s">
        <v>716</v>
      </c>
      <c r="B516" s="128" t="s">
        <v>271</v>
      </c>
      <c r="C516" s="8" t="s">
        <v>127</v>
      </c>
      <c r="D516" s="8" t="s">
        <v>116</v>
      </c>
      <c r="E516" s="126">
        <v>70</v>
      </c>
      <c r="F516" s="126">
        <v>3132</v>
      </c>
      <c r="G516" s="70"/>
    </row>
    <row r="517" spans="1:7" ht="25.5">
      <c r="A517" s="24" t="s">
        <v>686</v>
      </c>
      <c r="B517" s="128" t="s">
        <v>271</v>
      </c>
      <c r="C517" s="8" t="s">
        <v>127</v>
      </c>
      <c r="D517" s="8" t="s">
        <v>116</v>
      </c>
      <c r="E517" s="126">
        <v>97.4</v>
      </c>
      <c r="F517" s="126">
        <v>3132</v>
      </c>
      <c r="G517" s="70"/>
    </row>
    <row r="518" spans="1:7" ht="29.25" customHeight="1">
      <c r="A518" s="24" t="s">
        <v>715</v>
      </c>
      <c r="B518" s="128" t="s">
        <v>271</v>
      </c>
      <c r="C518" s="8" t="s">
        <v>127</v>
      </c>
      <c r="D518" s="8" t="s">
        <v>116</v>
      </c>
      <c r="E518" s="127">
        <v>210</v>
      </c>
      <c r="F518" s="126">
        <v>3132</v>
      </c>
      <c r="G518" s="70"/>
    </row>
    <row r="519" spans="1:7" ht="38.25">
      <c r="A519" s="24" t="s">
        <v>719</v>
      </c>
      <c r="B519" s="128" t="s">
        <v>271</v>
      </c>
      <c r="C519" s="8" t="s">
        <v>127</v>
      </c>
      <c r="D519" s="8" t="s">
        <v>116</v>
      </c>
      <c r="E519" s="127">
        <v>44</v>
      </c>
      <c r="F519" s="126">
        <v>3132</v>
      </c>
      <c r="G519" s="70"/>
    </row>
    <row r="520" spans="1:7" ht="38.25">
      <c r="A520" s="24" t="s">
        <v>720</v>
      </c>
      <c r="B520" s="128" t="s">
        <v>271</v>
      </c>
      <c r="C520" s="8" t="s">
        <v>127</v>
      </c>
      <c r="D520" s="8" t="s">
        <v>116</v>
      </c>
      <c r="E520" s="127">
        <v>86</v>
      </c>
      <c r="F520" s="126">
        <v>3132</v>
      </c>
      <c r="G520" s="70"/>
    </row>
    <row r="521" spans="1:7" ht="32.25" customHeight="1">
      <c r="A521" s="24" t="s">
        <v>693</v>
      </c>
      <c r="B521" s="128" t="s">
        <v>271</v>
      </c>
      <c r="C521" s="8" t="s">
        <v>127</v>
      </c>
      <c r="D521" s="8" t="s">
        <v>116</v>
      </c>
      <c r="E521" s="126">
        <v>21.5</v>
      </c>
      <c r="F521" s="126">
        <v>3132</v>
      </c>
      <c r="G521" s="70"/>
    </row>
    <row r="522" spans="1:7" ht="12.75">
      <c r="A522" s="24" t="s">
        <v>709</v>
      </c>
      <c r="B522" s="128" t="s">
        <v>271</v>
      </c>
      <c r="C522" s="8" t="s">
        <v>127</v>
      </c>
      <c r="D522" s="8" t="s">
        <v>116</v>
      </c>
      <c r="E522" s="126">
        <v>55.9</v>
      </c>
      <c r="F522" s="126">
        <v>3132</v>
      </c>
      <c r="G522" s="70"/>
    </row>
    <row r="523" spans="1:7" ht="25.5">
      <c r="A523" s="24" t="s">
        <v>710</v>
      </c>
      <c r="B523" s="128" t="s">
        <v>271</v>
      </c>
      <c r="C523" s="8" t="s">
        <v>127</v>
      </c>
      <c r="D523" s="8" t="s">
        <v>116</v>
      </c>
      <c r="E523" s="127">
        <v>40</v>
      </c>
      <c r="F523" s="126">
        <v>3132</v>
      </c>
      <c r="G523" s="70"/>
    </row>
    <row r="524" spans="1:7" ht="38.25">
      <c r="A524" s="24" t="s">
        <v>736</v>
      </c>
      <c r="B524" s="128" t="s">
        <v>271</v>
      </c>
      <c r="C524" s="8" t="s">
        <v>127</v>
      </c>
      <c r="D524" s="8" t="s">
        <v>116</v>
      </c>
      <c r="E524" s="127">
        <f>800-173-12.2-550</f>
        <v>64.79999999999995</v>
      </c>
      <c r="F524" s="126">
        <v>3132</v>
      </c>
      <c r="G524" s="70"/>
    </row>
    <row r="525" spans="1:7" ht="38.25">
      <c r="A525" s="24" t="s">
        <v>751</v>
      </c>
      <c r="B525" s="128" t="s">
        <v>271</v>
      </c>
      <c r="C525" s="8" t="s">
        <v>127</v>
      </c>
      <c r="D525" s="8" t="s">
        <v>116</v>
      </c>
      <c r="E525" s="127">
        <f>173+336.1+550.1+3.7</f>
        <v>1062.9</v>
      </c>
      <c r="F525" s="126">
        <v>3132</v>
      </c>
      <c r="G525" s="70"/>
    </row>
    <row r="526" spans="1:7" ht="13.5" thickBot="1">
      <c r="A526" s="198" t="s">
        <v>272</v>
      </c>
      <c r="B526" s="199"/>
      <c r="C526" s="199"/>
      <c r="D526" s="200"/>
      <c r="E526" s="152">
        <f>SUM(E435:E524)</f>
        <v>12031.799999999997</v>
      </c>
      <c r="F526" s="153"/>
      <c r="G526" s="154"/>
    </row>
    <row r="528" spans="1:7" ht="15">
      <c r="A528" s="193" t="s">
        <v>753</v>
      </c>
      <c r="B528" s="193"/>
      <c r="C528" s="193"/>
      <c r="D528" s="193"/>
      <c r="E528" s="193"/>
      <c r="F528" s="193"/>
      <c r="G528" s="193"/>
    </row>
    <row r="529" spans="1:7" ht="15">
      <c r="A529" s="192" t="s">
        <v>62</v>
      </c>
      <c r="B529" s="192"/>
      <c r="C529" s="192"/>
      <c r="D529" s="192"/>
      <c r="E529" s="192"/>
      <c r="F529" s="192"/>
      <c r="G529" s="192"/>
    </row>
    <row r="530" ht="12.75">
      <c r="A530" s="147" t="s">
        <v>64</v>
      </c>
    </row>
    <row r="532" spans="3:4" ht="12.75">
      <c r="C532" s="143"/>
      <c r="D532" s="143"/>
    </row>
  </sheetData>
  <sheetProtection/>
  <mergeCells count="20">
    <mergeCell ref="A420:D420"/>
    <mergeCell ref="A434:D434"/>
    <mergeCell ref="A375:D375"/>
    <mergeCell ref="A148:D148"/>
    <mergeCell ref="A202:D202"/>
    <mergeCell ref="A203:D203"/>
    <mergeCell ref="A352:D352"/>
    <mergeCell ref="A353:D353"/>
    <mergeCell ref="A335:D335"/>
    <mergeCell ref="A359:D359"/>
    <mergeCell ref="A528:G528"/>
    <mergeCell ref="A529:G529"/>
    <mergeCell ref="A1:F1"/>
    <mergeCell ref="A2:F2"/>
    <mergeCell ref="A3:F3"/>
    <mergeCell ref="A418:D418"/>
    <mergeCell ref="A368:D368"/>
    <mergeCell ref="A526:D526"/>
    <mergeCell ref="A433:D433"/>
    <mergeCell ref="A206:D206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&amp;C&amp;P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11"/>
  <sheetViews>
    <sheetView zoomScalePageLayoutView="0" workbookViewId="0" topLeftCell="A77">
      <selection activeCell="B81" sqref="B81:B82"/>
    </sheetView>
  </sheetViews>
  <sheetFormatPr defaultColWidth="9.00390625" defaultRowHeight="12.75"/>
  <cols>
    <col min="2" max="2" width="19.25390625" style="0" customWidth="1"/>
    <col min="5" max="5" width="13.00390625" style="0" customWidth="1"/>
    <col min="9" max="9" width="10.875" style="0" customWidth="1"/>
  </cols>
  <sheetData>
    <row r="1" spans="7:9" ht="12.75">
      <c r="G1" s="11" t="s">
        <v>1</v>
      </c>
      <c r="H1" s="11"/>
      <c r="I1" s="11"/>
    </row>
    <row r="2" spans="7:9" ht="12.75">
      <c r="G2" s="11" t="s">
        <v>2</v>
      </c>
      <c r="H2" s="11"/>
      <c r="I2" s="11"/>
    </row>
    <row r="3" spans="7:9" ht="12.75">
      <c r="G3" s="11" t="s">
        <v>3</v>
      </c>
      <c r="H3" s="11"/>
      <c r="I3" s="11"/>
    </row>
    <row r="4" spans="7:9" ht="12.75">
      <c r="G4" s="11" t="s">
        <v>4</v>
      </c>
      <c r="H4" s="11"/>
      <c r="I4" s="11"/>
    </row>
    <row r="5" spans="7:9" ht="12.75">
      <c r="G5" s="11" t="s">
        <v>11</v>
      </c>
      <c r="H5" s="11"/>
      <c r="I5" s="11"/>
    </row>
    <row r="6" spans="7:9" ht="12.75">
      <c r="G6" s="11" t="s">
        <v>9</v>
      </c>
      <c r="H6" s="11"/>
      <c r="I6" s="11"/>
    </row>
    <row r="7" spans="7:9" ht="12.75">
      <c r="G7" s="11" t="s">
        <v>10</v>
      </c>
      <c r="H7" s="11"/>
      <c r="I7" s="11"/>
    </row>
    <row r="8" spans="7:9" ht="12.75">
      <c r="G8" s="11" t="s">
        <v>12</v>
      </c>
      <c r="H8" s="11"/>
      <c r="I8" s="11"/>
    </row>
    <row r="9" spans="7:9" ht="15.75">
      <c r="G9" s="1"/>
      <c r="H9" s="1"/>
      <c r="I9" s="1"/>
    </row>
    <row r="10" spans="1:9" ht="15.75">
      <c r="A10" s="190" t="s">
        <v>574</v>
      </c>
      <c r="B10" s="190"/>
      <c r="C10" s="190"/>
      <c r="D10" s="190"/>
      <c r="E10" s="190"/>
      <c r="F10" s="190"/>
      <c r="G10" s="190"/>
      <c r="H10" s="190"/>
      <c r="I10" s="190"/>
    </row>
    <row r="11" spans="1:9" ht="15.75">
      <c r="A11" s="189" t="s">
        <v>30</v>
      </c>
      <c r="B11" s="189"/>
      <c r="C11" s="189"/>
      <c r="D11" s="189"/>
      <c r="E11" s="189"/>
      <c r="F11" s="189"/>
      <c r="G11" s="189"/>
      <c r="H11" s="189"/>
      <c r="I11" s="189"/>
    </row>
    <row r="12" spans="1:9" ht="318.75">
      <c r="A12" s="13" t="s">
        <v>66</v>
      </c>
      <c r="B12" s="12" t="s">
        <v>14</v>
      </c>
      <c r="C12" s="12" t="s">
        <v>5</v>
      </c>
      <c r="D12" s="12" t="s">
        <v>0</v>
      </c>
      <c r="E12" s="12" t="s">
        <v>577</v>
      </c>
      <c r="F12" s="12" t="s">
        <v>6</v>
      </c>
      <c r="G12" s="12" t="s">
        <v>7</v>
      </c>
      <c r="H12" s="12" t="s">
        <v>65</v>
      </c>
      <c r="I12" s="12" t="s">
        <v>8</v>
      </c>
    </row>
    <row r="13" spans="1:9" ht="12.7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</row>
    <row r="14" spans="1:9" ht="12.75">
      <c r="A14" s="186" t="s">
        <v>15</v>
      </c>
      <c r="B14" s="188" t="s">
        <v>74</v>
      </c>
      <c r="C14" s="184">
        <v>2230</v>
      </c>
      <c r="D14" s="164" t="s">
        <v>25</v>
      </c>
      <c r="E14" s="219">
        <v>9806.6</v>
      </c>
      <c r="F14" s="185" t="s">
        <v>26</v>
      </c>
      <c r="G14" s="185" t="s">
        <v>27</v>
      </c>
      <c r="H14" s="164" t="s">
        <v>553</v>
      </c>
      <c r="I14" s="109">
        <v>9568.6</v>
      </c>
    </row>
    <row r="15" spans="1:9" ht="95.25" customHeight="1">
      <c r="A15" s="186"/>
      <c r="B15" s="188"/>
      <c r="C15" s="184"/>
      <c r="D15" s="164"/>
      <c r="E15" s="220"/>
      <c r="F15" s="185"/>
      <c r="G15" s="185"/>
      <c r="H15" s="164"/>
      <c r="I15" s="8" t="s">
        <v>120</v>
      </c>
    </row>
    <row r="16" spans="1:9" ht="12.75">
      <c r="A16" s="186" t="s">
        <v>16</v>
      </c>
      <c r="B16" s="168" t="s">
        <v>75</v>
      </c>
      <c r="C16" s="184">
        <v>2230</v>
      </c>
      <c r="D16" s="164" t="s">
        <v>25</v>
      </c>
      <c r="E16" s="219">
        <v>636</v>
      </c>
      <c r="F16" s="185" t="s">
        <v>26</v>
      </c>
      <c r="G16" s="185" t="s">
        <v>567</v>
      </c>
      <c r="H16" s="164" t="s">
        <v>28</v>
      </c>
      <c r="I16" s="109">
        <v>461.1</v>
      </c>
    </row>
    <row r="17" spans="1:9" ht="53.25" customHeight="1">
      <c r="A17" s="186"/>
      <c r="B17" s="168"/>
      <c r="C17" s="184"/>
      <c r="D17" s="164"/>
      <c r="E17" s="220"/>
      <c r="F17" s="185"/>
      <c r="G17" s="185"/>
      <c r="H17" s="164"/>
      <c r="I17" s="8" t="s">
        <v>120</v>
      </c>
    </row>
    <row r="18" spans="1:9" ht="12.75">
      <c r="A18" s="186" t="s">
        <v>17</v>
      </c>
      <c r="B18" s="168" t="s">
        <v>76</v>
      </c>
      <c r="C18" s="184">
        <v>2230</v>
      </c>
      <c r="D18" s="164" t="s">
        <v>25</v>
      </c>
      <c r="E18" s="215">
        <v>635.7</v>
      </c>
      <c r="F18" s="185" t="s">
        <v>26</v>
      </c>
      <c r="G18" s="185" t="s">
        <v>498</v>
      </c>
      <c r="H18" s="164" t="s">
        <v>28</v>
      </c>
      <c r="I18" s="108">
        <v>421.9</v>
      </c>
    </row>
    <row r="19" spans="1:9" ht="72" customHeight="1">
      <c r="A19" s="186"/>
      <c r="B19" s="168"/>
      <c r="C19" s="184"/>
      <c r="D19" s="164"/>
      <c r="E19" s="216"/>
      <c r="F19" s="185"/>
      <c r="G19" s="185"/>
      <c r="H19" s="164"/>
      <c r="I19" s="8" t="s">
        <v>120</v>
      </c>
    </row>
    <row r="20" spans="1:9" ht="12.75">
      <c r="A20" s="186" t="s">
        <v>18</v>
      </c>
      <c r="B20" s="188" t="s">
        <v>77</v>
      </c>
      <c r="C20" s="184">
        <v>2230</v>
      </c>
      <c r="D20" s="164" t="s">
        <v>25</v>
      </c>
      <c r="E20" s="215">
        <v>1990.1</v>
      </c>
      <c r="F20" s="185" t="s">
        <v>26</v>
      </c>
      <c r="G20" s="185" t="s">
        <v>27</v>
      </c>
      <c r="H20" s="164" t="s">
        <v>28</v>
      </c>
      <c r="I20" s="110">
        <v>1694</v>
      </c>
    </row>
    <row r="21" spans="1:9" ht="110.25" customHeight="1">
      <c r="A21" s="186"/>
      <c r="B21" s="188"/>
      <c r="C21" s="184"/>
      <c r="D21" s="164"/>
      <c r="E21" s="216"/>
      <c r="F21" s="185"/>
      <c r="G21" s="185"/>
      <c r="H21" s="164"/>
      <c r="I21" s="8" t="s">
        <v>120</v>
      </c>
    </row>
    <row r="22" spans="1:9" ht="12.75">
      <c r="A22" s="186" t="s">
        <v>19</v>
      </c>
      <c r="B22" s="168" t="s">
        <v>78</v>
      </c>
      <c r="C22" s="184">
        <v>2230</v>
      </c>
      <c r="D22" s="164" t="s">
        <v>25</v>
      </c>
      <c r="E22" s="215">
        <v>956</v>
      </c>
      <c r="F22" s="185" t="s">
        <v>26</v>
      </c>
      <c r="G22" s="185" t="s">
        <v>27</v>
      </c>
      <c r="H22" s="164" t="s">
        <v>28</v>
      </c>
      <c r="I22" s="111">
        <v>839.5</v>
      </c>
    </row>
    <row r="23" spans="1:9" ht="73.5" customHeight="1">
      <c r="A23" s="186"/>
      <c r="B23" s="168"/>
      <c r="C23" s="184"/>
      <c r="D23" s="164"/>
      <c r="E23" s="216"/>
      <c r="F23" s="185"/>
      <c r="G23" s="185"/>
      <c r="H23" s="164"/>
      <c r="I23" s="8" t="s">
        <v>120</v>
      </c>
    </row>
    <row r="24" spans="1:9" ht="12.75">
      <c r="A24" s="186" t="s">
        <v>20</v>
      </c>
      <c r="B24" s="168" t="s">
        <v>79</v>
      </c>
      <c r="C24" s="184">
        <v>2230</v>
      </c>
      <c r="D24" s="164" t="s">
        <v>25</v>
      </c>
      <c r="E24" s="215">
        <v>2340</v>
      </c>
      <c r="F24" s="185" t="s">
        <v>26</v>
      </c>
      <c r="G24" s="185" t="s">
        <v>27</v>
      </c>
      <c r="H24" s="164" t="s">
        <v>28</v>
      </c>
      <c r="I24" s="110">
        <v>2268</v>
      </c>
    </row>
    <row r="25" spans="1:9" ht="66.75" customHeight="1">
      <c r="A25" s="186"/>
      <c r="B25" s="168"/>
      <c r="C25" s="184"/>
      <c r="D25" s="164"/>
      <c r="E25" s="216"/>
      <c r="F25" s="185"/>
      <c r="G25" s="185"/>
      <c r="H25" s="164"/>
      <c r="I25" s="8" t="s">
        <v>120</v>
      </c>
    </row>
    <row r="26" spans="1:9" ht="12.75">
      <c r="A26" s="186" t="s">
        <v>21</v>
      </c>
      <c r="B26" s="168" t="s">
        <v>80</v>
      </c>
      <c r="C26" s="184">
        <v>2230</v>
      </c>
      <c r="D26" s="164" t="s">
        <v>25</v>
      </c>
      <c r="E26" s="215">
        <v>1994.9</v>
      </c>
      <c r="F26" s="185" t="s">
        <v>26</v>
      </c>
      <c r="G26" s="185" t="s">
        <v>27</v>
      </c>
      <c r="H26" s="164" t="s">
        <v>28</v>
      </c>
      <c r="I26" s="110">
        <v>1374.4</v>
      </c>
    </row>
    <row r="27" spans="1:9" ht="55.5" customHeight="1">
      <c r="A27" s="186"/>
      <c r="B27" s="168"/>
      <c r="C27" s="184"/>
      <c r="D27" s="164"/>
      <c r="E27" s="216"/>
      <c r="F27" s="185"/>
      <c r="G27" s="185"/>
      <c r="H27" s="164"/>
      <c r="I27" s="8" t="s">
        <v>120</v>
      </c>
    </row>
    <row r="28" spans="1:9" ht="12.75">
      <c r="A28" s="186" t="s">
        <v>22</v>
      </c>
      <c r="B28" s="168" t="s">
        <v>81</v>
      </c>
      <c r="C28" s="184">
        <v>2230</v>
      </c>
      <c r="D28" s="164" t="s">
        <v>25</v>
      </c>
      <c r="E28" s="215">
        <v>422.8</v>
      </c>
      <c r="F28" s="185" t="s">
        <v>26</v>
      </c>
      <c r="G28" s="185" t="s">
        <v>27</v>
      </c>
      <c r="H28" s="164" t="s">
        <v>28</v>
      </c>
      <c r="I28" s="110">
        <v>424.8</v>
      </c>
    </row>
    <row r="29" spans="1:9" ht="54" customHeight="1">
      <c r="A29" s="186"/>
      <c r="B29" s="168"/>
      <c r="C29" s="184"/>
      <c r="D29" s="164"/>
      <c r="E29" s="216"/>
      <c r="F29" s="185"/>
      <c r="G29" s="185"/>
      <c r="H29" s="164"/>
      <c r="I29" s="8" t="s">
        <v>120</v>
      </c>
    </row>
    <row r="30" spans="1:9" ht="12.75">
      <c r="A30" s="186" t="s">
        <v>23</v>
      </c>
      <c r="B30" s="168" t="s">
        <v>82</v>
      </c>
      <c r="C30" s="184">
        <v>2230</v>
      </c>
      <c r="D30" s="164" t="s">
        <v>25</v>
      </c>
      <c r="E30" s="215">
        <v>1130.7</v>
      </c>
      <c r="F30" s="185" t="s">
        <v>26</v>
      </c>
      <c r="G30" s="185" t="s">
        <v>27</v>
      </c>
      <c r="H30" s="164" t="s">
        <v>28</v>
      </c>
      <c r="I30" s="110">
        <v>1051.8</v>
      </c>
    </row>
    <row r="31" spans="1:9" ht="97.5" customHeight="1">
      <c r="A31" s="186"/>
      <c r="B31" s="168"/>
      <c r="C31" s="184"/>
      <c r="D31" s="164"/>
      <c r="E31" s="216"/>
      <c r="F31" s="185"/>
      <c r="G31" s="185"/>
      <c r="H31" s="164"/>
      <c r="I31" s="8" t="s">
        <v>120</v>
      </c>
    </row>
    <row r="32" spans="1:9" ht="12.75">
      <c r="A32" s="186" t="s">
        <v>24</v>
      </c>
      <c r="B32" s="177" t="s">
        <v>31</v>
      </c>
      <c r="C32" s="184">
        <v>2230</v>
      </c>
      <c r="D32" s="164" t="s">
        <v>25</v>
      </c>
      <c r="E32" s="215">
        <v>403</v>
      </c>
      <c r="F32" s="185" t="s">
        <v>26</v>
      </c>
      <c r="G32" s="185" t="s">
        <v>27</v>
      </c>
      <c r="H32" s="164" t="s">
        <v>28</v>
      </c>
      <c r="I32" s="110">
        <v>357.2</v>
      </c>
    </row>
    <row r="33" spans="1:9" ht="25.5">
      <c r="A33" s="186"/>
      <c r="B33" s="177"/>
      <c r="C33" s="184"/>
      <c r="D33" s="164"/>
      <c r="E33" s="216"/>
      <c r="F33" s="185"/>
      <c r="G33" s="185"/>
      <c r="H33" s="164"/>
      <c r="I33" s="8" t="s">
        <v>120</v>
      </c>
    </row>
    <row r="34" spans="1:9" ht="12.75">
      <c r="A34" s="186" t="s">
        <v>35</v>
      </c>
      <c r="B34" s="177" t="s">
        <v>32</v>
      </c>
      <c r="C34" s="184">
        <v>2230</v>
      </c>
      <c r="D34" s="164" t="s">
        <v>25</v>
      </c>
      <c r="E34" s="217">
        <v>363.9</v>
      </c>
      <c r="F34" s="185" t="s">
        <v>26</v>
      </c>
      <c r="G34" s="185" t="s">
        <v>27</v>
      </c>
      <c r="H34" s="164" t="s">
        <v>28</v>
      </c>
      <c r="I34" s="165"/>
    </row>
    <row r="35" spans="1:9" ht="60.75" customHeight="1">
      <c r="A35" s="186"/>
      <c r="B35" s="177"/>
      <c r="C35" s="184"/>
      <c r="D35" s="164"/>
      <c r="E35" s="218"/>
      <c r="F35" s="185"/>
      <c r="G35" s="185"/>
      <c r="H35" s="164"/>
      <c r="I35" s="174"/>
    </row>
    <row r="36" spans="1:9" ht="12.75">
      <c r="A36" s="186" t="s">
        <v>36</v>
      </c>
      <c r="B36" s="177" t="s">
        <v>33</v>
      </c>
      <c r="C36" s="184">
        <v>2230</v>
      </c>
      <c r="D36" s="164" t="s">
        <v>25</v>
      </c>
      <c r="E36" s="215">
        <v>1241.6</v>
      </c>
      <c r="F36" s="185" t="s">
        <v>26</v>
      </c>
      <c r="G36" s="185" t="s">
        <v>499</v>
      </c>
      <c r="H36" s="164" t="s">
        <v>28</v>
      </c>
      <c r="I36" s="15">
        <v>1137.6</v>
      </c>
    </row>
    <row r="37" spans="1:9" ht="90.75" customHeight="1">
      <c r="A37" s="186"/>
      <c r="B37" s="177"/>
      <c r="C37" s="184"/>
      <c r="D37" s="164"/>
      <c r="E37" s="216"/>
      <c r="F37" s="185"/>
      <c r="G37" s="185"/>
      <c r="H37" s="164"/>
      <c r="I37" s="8" t="s">
        <v>120</v>
      </c>
    </row>
    <row r="38" spans="1:9" ht="12.75">
      <c r="A38" s="186" t="s">
        <v>37</v>
      </c>
      <c r="B38" s="177" t="s">
        <v>34</v>
      </c>
      <c r="C38" s="184">
        <v>2230</v>
      </c>
      <c r="D38" s="164" t="s">
        <v>25</v>
      </c>
      <c r="E38" s="215">
        <v>1358.1</v>
      </c>
      <c r="F38" s="185" t="s">
        <v>68</v>
      </c>
      <c r="G38" s="185" t="s">
        <v>568</v>
      </c>
      <c r="H38" s="164" t="s">
        <v>28</v>
      </c>
      <c r="I38" s="164"/>
    </row>
    <row r="39" spans="1:9" ht="66" customHeight="1">
      <c r="A39" s="186"/>
      <c r="B39" s="177"/>
      <c r="C39" s="184"/>
      <c r="D39" s="164"/>
      <c r="E39" s="216"/>
      <c r="F39" s="185"/>
      <c r="G39" s="185"/>
      <c r="H39" s="164"/>
      <c r="I39" s="164"/>
    </row>
    <row r="40" spans="1:9" ht="12.75">
      <c r="A40" s="186" t="s">
        <v>38</v>
      </c>
      <c r="B40" s="177" t="s">
        <v>39</v>
      </c>
      <c r="C40" s="184">
        <v>2230</v>
      </c>
      <c r="D40" s="164" t="s">
        <v>25</v>
      </c>
      <c r="E40" s="215">
        <v>527.9</v>
      </c>
      <c r="F40" s="185" t="s">
        <v>26</v>
      </c>
      <c r="G40" s="185" t="s">
        <v>500</v>
      </c>
      <c r="H40" s="164" t="s">
        <v>28</v>
      </c>
      <c r="I40" s="112">
        <v>386.1</v>
      </c>
    </row>
    <row r="41" spans="1:9" ht="44.25" customHeight="1">
      <c r="A41" s="186"/>
      <c r="B41" s="177"/>
      <c r="C41" s="184"/>
      <c r="D41" s="164"/>
      <c r="E41" s="216"/>
      <c r="F41" s="185"/>
      <c r="G41" s="185"/>
      <c r="H41" s="164"/>
      <c r="I41" s="8" t="s">
        <v>120</v>
      </c>
    </row>
    <row r="42" spans="1:9" ht="12.75">
      <c r="A42" s="186" t="s">
        <v>50</v>
      </c>
      <c r="B42" s="177" t="s">
        <v>40</v>
      </c>
      <c r="C42" s="184">
        <v>2230</v>
      </c>
      <c r="D42" s="164" t="s">
        <v>25</v>
      </c>
      <c r="E42" s="217">
        <v>139.2</v>
      </c>
      <c r="F42" s="185" t="s">
        <v>26</v>
      </c>
      <c r="G42" s="185" t="s">
        <v>119</v>
      </c>
      <c r="H42" s="164" t="s">
        <v>28</v>
      </c>
      <c r="I42" s="110">
        <v>130.3</v>
      </c>
    </row>
    <row r="43" spans="1:9" ht="75" customHeight="1">
      <c r="A43" s="186"/>
      <c r="B43" s="177"/>
      <c r="C43" s="184"/>
      <c r="D43" s="164"/>
      <c r="E43" s="218"/>
      <c r="F43" s="185"/>
      <c r="G43" s="185"/>
      <c r="H43" s="164"/>
      <c r="I43" s="8" t="s">
        <v>120</v>
      </c>
    </row>
    <row r="44" spans="1:9" ht="12.75">
      <c r="A44" s="186" t="s">
        <v>51</v>
      </c>
      <c r="B44" s="177" t="s">
        <v>41</v>
      </c>
      <c r="C44" s="184">
        <v>2230</v>
      </c>
      <c r="D44" s="164" t="s">
        <v>25</v>
      </c>
      <c r="E44" s="215">
        <v>568.6</v>
      </c>
      <c r="F44" s="185" t="s">
        <v>26</v>
      </c>
      <c r="G44" s="185" t="s">
        <v>119</v>
      </c>
      <c r="H44" s="164" t="s">
        <v>28</v>
      </c>
      <c r="I44" s="110">
        <v>493.9</v>
      </c>
    </row>
    <row r="45" spans="1:9" ht="63" customHeight="1">
      <c r="A45" s="186"/>
      <c r="B45" s="177"/>
      <c r="C45" s="184"/>
      <c r="D45" s="164"/>
      <c r="E45" s="216"/>
      <c r="F45" s="185"/>
      <c r="G45" s="185"/>
      <c r="H45" s="164"/>
      <c r="I45" s="8" t="s">
        <v>120</v>
      </c>
    </row>
    <row r="46" spans="1:9" ht="12.75">
      <c r="A46" s="186" t="s">
        <v>52</v>
      </c>
      <c r="B46" s="177" t="s">
        <v>42</v>
      </c>
      <c r="C46" s="184">
        <v>2230</v>
      </c>
      <c r="D46" s="164" t="s">
        <v>25</v>
      </c>
      <c r="E46" s="215">
        <v>495</v>
      </c>
      <c r="F46" s="185" t="s">
        <v>26</v>
      </c>
      <c r="G46" s="185" t="s">
        <v>119</v>
      </c>
      <c r="H46" s="164" t="s">
        <v>28</v>
      </c>
      <c r="I46" s="15">
        <v>595.5</v>
      </c>
    </row>
    <row r="47" spans="1:9" ht="87.75" customHeight="1">
      <c r="A47" s="186"/>
      <c r="B47" s="177"/>
      <c r="C47" s="184"/>
      <c r="D47" s="164"/>
      <c r="E47" s="216"/>
      <c r="F47" s="185"/>
      <c r="G47" s="185"/>
      <c r="H47" s="164"/>
      <c r="I47" s="8" t="s">
        <v>120</v>
      </c>
    </row>
    <row r="48" spans="1:9" ht="12.75">
      <c r="A48" s="186" t="s">
        <v>53</v>
      </c>
      <c r="B48" s="177" t="s">
        <v>43</v>
      </c>
      <c r="C48" s="184">
        <v>2230</v>
      </c>
      <c r="D48" s="164" t="s">
        <v>25</v>
      </c>
      <c r="E48" s="215">
        <v>229.4</v>
      </c>
      <c r="F48" s="185" t="s">
        <v>26</v>
      </c>
      <c r="G48" s="185" t="s">
        <v>498</v>
      </c>
      <c r="H48" s="164" t="s">
        <v>28</v>
      </c>
      <c r="I48" s="112">
        <v>152</v>
      </c>
    </row>
    <row r="49" spans="1:9" ht="75" customHeight="1">
      <c r="A49" s="186"/>
      <c r="B49" s="177"/>
      <c r="C49" s="184"/>
      <c r="D49" s="164"/>
      <c r="E49" s="216"/>
      <c r="F49" s="185"/>
      <c r="G49" s="185"/>
      <c r="H49" s="164"/>
      <c r="I49" s="8" t="s">
        <v>120</v>
      </c>
    </row>
    <row r="50" spans="1:9" ht="12.75">
      <c r="A50" s="186" t="s">
        <v>54</v>
      </c>
      <c r="B50" s="177" t="s">
        <v>44</v>
      </c>
      <c r="C50" s="184">
        <v>2230</v>
      </c>
      <c r="D50" s="164" t="s">
        <v>25</v>
      </c>
      <c r="E50" s="215">
        <v>247.4</v>
      </c>
      <c r="F50" s="185" t="s">
        <v>26</v>
      </c>
      <c r="G50" s="185" t="s">
        <v>499</v>
      </c>
      <c r="H50" s="164" t="s">
        <v>28</v>
      </c>
      <c r="I50" s="15">
        <v>162.1</v>
      </c>
    </row>
    <row r="51" spans="1:9" ht="99" customHeight="1">
      <c r="A51" s="186"/>
      <c r="B51" s="177"/>
      <c r="C51" s="184"/>
      <c r="D51" s="164"/>
      <c r="E51" s="216"/>
      <c r="F51" s="185"/>
      <c r="G51" s="185"/>
      <c r="H51" s="164"/>
      <c r="I51" s="8" t="s">
        <v>120</v>
      </c>
    </row>
    <row r="52" spans="1:9" ht="12.75">
      <c r="A52" s="186" t="s">
        <v>55</v>
      </c>
      <c r="B52" s="177" t="s">
        <v>45</v>
      </c>
      <c r="C52" s="184">
        <v>2230</v>
      </c>
      <c r="D52" s="164" t="s">
        <v>25</v>
      </c>
      <c r="E52" s="215">
        <v>273.6</v>
      </c>
      <c r="F52" s="185" t="s">
        <v>26</v>
      </c>
      <c r="G52" s="185" t="s">
        <v>500</v>
      </c>
      <c r="H52" s="164" t="s">
        <v>28</v>
      </c>
      <c r="I52" s="15">
        <v>275</v>
      </c>
    </row>
    <row r="53" spans="1:9" ht="123.75" customHeight="1">
      <c r="A53" s="186"/>
      <c r="B53" s="177"/>
      <c r="C53" s="184"/>
      <c r="D53" s="164"/>
      <c r="E53" s="216"/>
      <c r="F53" s="185"/>
      <c r="G53" s="185"/>
      <c r="H53" s="164"/>
      <c r="I53" s="8" t="s">
        <v>120</v>
      </c>
    </row>
    <row r="54" spans="1:9" ht="12.75">
      <c r="A54" s="186" t="s">
        <v>56</v>
      </c>
      <c r="B54" s="187" t="s">
        <v>576</v>
      </c>
      <c r="C54" s="184">
        <v>2230</v>
      </c>
      <c r="D54" s="164" t="s">
        <v>25</v>
      </c>
      <c r="E54" s="215">
        <v>491.3</v>
      </c>
      <c r="F54" s="185" t="s">
        <v>26</v>
      </c>
      <c r="G54" s="185" t="s">
        <v>498</v>
      </c>
      <c r="H54" s="164" t="s">
        <v>28</v>
      </c>
      <c r="I54" s="15">
        <v>394.3</v>
      </c>
    </row>
    <row r="55" spans="1:9" ht="87" customHeight="1">
      <c r="A55" s="186"/>
      <c r="B55" s="187"/>
      <c r="C55" s="184"/>
      <c r="D55" s="164"/>
      <c r="E55" s="216"/>
      <c r="F55" s="185"/>
      <c r="G55" s="185"/>
      <c r="H55" s="164"/>
      <c r="I55" s="8" t="s">
        <v>120</v>
      </c>
    </row>
    <row r="56" spans="1:9" ht="12.75">
      <c r="A56" s="186" t="s">
        <v>57</v>
      </c>
      <c r="B56" s="177" t="s">
        <v>47</v>
      </c>
      <c r="C56" s="184">
        <v>2230</v>
      </c>
      <c r="D56" s="164" t="s">
        <v>25</v>
      </c>
      <c r="E56" s="215">
        <v>1205.5</v>
      </c>
      <c r="F56" s="185" t="s">
        <v>26</v>
      </c>
      <c r="G56" s="185" t="s">
        <v>116</v>
      </c>
      <c r="H56" s="164" t="s">
        <v>28</v>
      </c>
      <c r="I56" s="164"/>
    </row>
    <row r="57" spans="1:9" ht="63" customHeight="1">
      <c r="A57" s="186"/>
      <c r="B57" s="177"/>
      <c r="C57" s="184"/>
      <c r="D57" s="164"/>
      <c r="E57" s="216"/>
      <c r="F57" s="185"/>
      <c r="G57" s="185"/>
      <c r="H57" s="164"/>
      <c r="I57" s="164"/>
    </row>
    <row r="58" spans="1:9" ht="12.75">
      <c r="A58" s="186" t="s">
        <v>58</v>
      </c>
      <c r="B58" s="177" t="s">
        <v>48</v>
      </c>
      <c r="C58" s="184">
        <v>2230</v>
      </c>
      <c r="D58" s="164" t="s">
        <v>25</v>
      </c>
      <c r="E58" s="215">
        <v>151.5</v>
      </c>
      <c r="F58" s="185" t="s">
        <v>68</v>
      </c>
      <c r="G58" s="185" t="s">
        <v>568</v>
      </c>
      <c r="H58" s="164" t="s">
        <v>28</v>
      </c>
      <c r="I58" s="164"/>
    </row>
    <row r="59" spans="1:9" ht="57" customHeight="1">
      <c r="A59" s="186"/>
      <c r="B59" s="177"/>
      <c r="C59" s="184"/>
      <c r="D59" s="164"/>
      <c r="E59" s="216"/>
      <c r="F59" s="185"/>
      <c r="G59" s="185"/>
      <c r="H59" s="164"/>
      <c r="I59" s="164"/>
    </row>
    <row r="60" spans="1:9" ht="12.75">
      <c r="A60" s="186" t="s">
        <v>59</v>
      </c>
      <c r="B60" s="177" t="s">
        <v>49</v>
      </c>
      <c r="C60" s="184">
        <v>2230</v>
      </c>
      <c r="D60" s="164" t="s">
        <v>25</v>
      </c>
      <c r="E60" s="215">
        <v>392.5</v>
      </c>
      <c r="F60" s="185" t="s">
        <v>68</v>
      </c>
      <c r="G60" s="185" t="s">
        <v>568</v>
      </c>
      <c r="H60" s="164" t="s">
        <v>28</v>
      </c>
      <c r="I60" s="164"/>
    </row>
    <row r="61" spans="1:9" ht="102" customHeight="1">
      <c r="A61" s="186"/>
      <c r="B61" s="177"/>
      <c r="C61" s="184"/>
      <c r="D61" s="164"/>
      <c r="E61" s="216"/>
      <c r="F61" s="185"/>
      <c r="G61" s="185"/>
      <c r="H61" s="164"/>
      <c r="I61" s="164"/>
    </row>
    <row r="62" spans="1:9" ht="12.75">
      <c r="A62" s="177" t="s">
        <v>60</v>
      </c>
      <c r="B62" s="177" t="s">
        <v>83</v>
      </c>
      <c r="C62" s="177">
        <v>2240</v>
      </c>
      <c r="D62" s="164" t="s">
        <v>25</v>
      </c>
      <c r="E62" s="215">
        <v>121</v>
      </c>
      <c r="F62" s="172" t="s">
        <v>68</v>
      </c>
      <c r="G62" s="172" t="s">
        <v>569</v>
      </c>
      <c r="H62" s="172" t="s">
        <v>61</v>
      </c>
      <c r="I62" s="172"/>
    </row>
    <row r="63" spans="1:9" ht="93.75" customHeight="1">
      <c r="A63" s="177"/>
      <c r="B63" s="177"/>
      <c r="C63" s="177"/>
      <c r="D63" s="164"/>
      <c r="E63" s="216"/>
      <c r="F63" s="172"/>
      <c r="G63" s="172"/>
      <c r="H63" s="172"/>
      <c r="I63" s="172"/>
    </row>
    <row r="64" spans="1:9" ht="12.75">
      <c r="A64" s="181" t="s">
        <v>69</v>
      </c>
      <c r="B64" s="177" t="s">
        <v>67</v>
      </c>
      <c r="C64" s="177">
        <v>2273</v>
      </c>
      <c r="D64" s="164" t="s">
        <v>25</v>
      </c>
      <c r="E64" s="215">
        <v>3847.2</v>
      </c>
      <c r="F64" s="164" t="s">
        <v>68</v>
      </c>
      <c r="G64" s="172" t="s">
        <v>115</v>
      </c>
      <c r="H64" s="172" t="s">
        <v>554</v>
      </c>
      <c r="I64" s="164"/>
    </row>
    <row r="65" spans="1:9" ht="40.5" customHeight="1">
      <c r="A65" s="181"/>
      <c r="B65" s="177"/>
      <c r="C65" s="177"/>
      <c r="D65" s="164"/>
      <c r="E65" s="216"/>
      <c r="F65" s="164"/>
      <c r="G65" s="172"/>
      <c r="H65" s="172"/>
      <c r="I65" s="164"/>
    </row>
    <row r="66" spans="1:9" ht="12.75">
      <c r="A66" s="181" t="s">
        <v>71</v>
      </c>
      <c r="B66" s="177" t="s">
        <v>70</v>
      </c>
      <c r="C66" s="177">
        <v>2272</v>
      </c>
      <c r="D66" s="164" t="s">
        <v>25</v>
      </c>
      <c r="E66" s="215">
        <v>2217.7</v>
      </c>
      <c r="F66" s="164" t="s">
        <v>68</v>
      </c>
      <c r="G66" s="172" t="s">
        <v>115</v>
      </c>
      <c r="H66" s="172" t="s">
        <v>61</v>
      </c>
      <c r="I66" s="164"/>
    </row>
    <row r="67" spans="1:9" ht="97.5" customHeight="1">
      <c r="A67" s="181"/>
      <c r="B67" s="177"/>
      <c r="C67" s="177"/>
      <c r="D67" s="164"/>
      <c r="E67" s="216"/>
      <c r="F67" s="164"/>
      <c r="G67" s="172"/>
      <c r="H67" s="172"/>
      <c r="I67" s="164"/>
    </row>
    <row r="68" spans="1:9" ht="12.75">
      <c r="A68" s="181" t="s">
        <v>72</v>
      </c>
      <c r="B68" s="177" t="s">
        <v>73</v>
      </c>
      <c r="C68" s="177">
        <v>2274</v>
      </c>
      <c r="D68" s="164" t="s">
        <v>25</v>
      </c>
      <c r="E68" s="215">
        <v>342.8</v>
      </c>
      <c r="F68" s="164" t="s">
        <v>68</v>
      </c>
      <c r="G68" s="172" t="s">
        <v>115</v>
      </c>
      <c r="H68" s="172" t="s">
        <v>61</v>
      </c>
      <c r="I68" s="164"/>
    </row>
    <row r="69" spans="1:9" ht="69.75" customHeight="1">
      <c r="A69" s="181"/>
      <c r="B69" s="177"/>
      <c r="C69" s="177"/>
      <c r="D69" s="164"/>
      <c r="E69" s="216"/>
      <c r="F69" s="164"/>
      <c r="G69" s="172"/>
      <c r="H69" s="172"/>
      <c r="I69" s="164"/>
    </row>
    <row r="70" spans="1:9" ht="12.75">
      <c r="A70" s="181" t="s">
        <v>110</v>
      </c>
      <c r="B70" s="177" t="s">
        <v>84</v>
      </c>
      <c r="C70" s="177">
        <v>2240</v>
      </c>
      <c r="D70" s="164" t="s">
        <v>25</v>
      </c>
      <c r="E70" s="215">
        <v>116.8</v>
      </c>
      <c r="F70" s="164" t="s">
        <v>68</v>
      </c>
      <c r="G70" s="172" t="s">
        <v>575</v>
      </c>
      <c r="H70" s="172" t="s">
        <v>61</v>
      </c>
      <c r="I70" s="164"/>
    </row>
    <row r="71" spans="1:9" ht="12.75">
      <c r="A71" s="181"/>
      <c r="B71" s="177"/>
      <c r="C71" s="177"/>
      <c r="D71" s="164"/>
      <c r="E71" s="221"/>
      <c r="F71" s="164"/>
      <c r="G71" s="172"/>
      <c r="H71" s="172"/>
      <c r="I71" s="164"/>
    </row>
    <row r="72" spans="1:9" ht="51" customHeight="1">
      <c r="A72" s="181"/>
      <c r="B72" s="177"/>
      <c r="C72" s="177"/>
      <c r="D72" s="164"/>
      <c r="E72" s="216"/>
      <c r="F72" s="164"/>
      <c r="G72" s="172"/>
      <c r="H72" s="172"/>
      <c r="I72" s="164"/>
    </row>
    <row r="73" spans="1:9" ht="12.75">
      <c r="A73" s="181" t="s">
        <v>111</v>
      </c>
      <c r="B73" s="177" t="s">
        <v>85</v>
      </c>
      <c r="C73" s="177">
        <v>2271</v>
      </c>
      <c r="D73" s="164" t="s">
        <v>25</v>
      </c>
      <c r="E73" s="215">
        <v>23692.4</v>
      </c>
      <c r="F73" s="164" t="s">
        <v>68</v>
      </c>
      <c r="G73" s="172" t="s">
        <v>115</v>
      </c>
      <c r="H73" s="172" t="s">
        <v>61</v>
      </c>
      <c r="I73" s="164"/>
    </row>
    <row r="74" spans="1:9" ht="109.5" customHeight="1">
      <c r="A74" s="181"/>
      <c r="B74" s="177"/>
      <c r="C74" s="177"/>
      <c r="D74" s="164"/>
      <c r="E74" s="216"/>
      <c r="F74" s="164"/>
      <c r="G74" s="172"/>
      <c r="H74" s="172"/>
      <c r="I74" s="164"/>
    </row>
    <row r="75" spans="1:9" ht="12.75">
      <c r="A75" s="181" t="s">
        <v>112</v>
      </c>
      <c r="B75" s="177" t="s">
        <v>86</v>
      </c>
      <c r="C75" s="177">
        <v>2240</v>
      </c>
      <c r="D75" s="164" t="s">
        <v>25</v>
      </c>
      <c r="E75" s="215">
        <v>346.8</v>
      </c>
      <c r="F75" s="164" t="s">
        <v>26</v>
      </c>
      <c r="G75" s="172" t="s">
        <v>116</v>
      </c>
      <c r="H75" s="172" t="s">
        <v>555</v>
      </c>
      <c r="I75" s="164"/>
    </row>
    <row r="76" spans="1:9" ht="101.25" customHeight="1">
      <c r="A76" s="181"/>
      <c r="B76" s="177"/>
      <c r="C76" s="177"/>
      <c r="D76" s="164"/>
      <c r="E76" s="216"/>
      <c r="F76" s="164"/>
      <c r="G76" s="172"/>
      <c r="H76" s="172"/>
      <c r="I76" s="164"/>
    </row>
    <row r="77" spans="1:9" ht="12.75">
      <c r="A77" s="181" t="s">
        <v>113</v>
      </c>
      <c r="B77" s="177" t="s">
        <v>107</v>
      </c>
      <c r="C77" s="177">
        <v>2240</v>
      </c>
      <c r="D77" s="164" t="s">
        <v>25</v>
      </c>
      <c r="E77" s="217">
        <v>112.7</v>
      </c>
      <c r="F77" s="164" t="s">
        <v>26</v>
      </c>
      <c r="G77" s="172" t="s">
        <v>116</v>
      </c>
      <c r="H77" s="172" t="s">
        <v>61</v>
      </c>
      <c r="I77" s="164"/>
    </row>
    <row r="78" spans="1:9" ht="129.75" customHeight="1">
      <c r="A78" s="181"/>
      <c r="B78" s="177"/>
      <c r="C78" s="177"/>
      <c r="D78" s="164"/>
      <c r="E78" s="218"/>
      <c r="F78" s="164"/>
      <c r="G78" s="172"/>
      <c r="H78" s="172"/>
      <c r="I78" s="164"/>
    </row>
    <row r="79" spans="1:9" ht="12.75">
      <c r="A79" s="181" t="s">
        <v>114</v>
      </c>
      <c r="B79" s="182" t="s">
        <v>118</v>
      </c>
      <c r="C79" s="177">
        <v>2240</v>
      </c>
      <c r="D79" s="164" t="s">
        <v>25</v>
      </c>
      <c r="E79" s="215">
        <v>165.5</v>
      </c>
      <c r="F79" s="164" t="s">
        <v>26</v>
      </c>
      <c r="G79" s="172" t="s">
        <v>116</v>
      </c>
      <c r="H79" s="172" t="s">
        <v>61</v>
      </c>
      <c r="I79" s="164"/>
    </row>
    <row r="80" spans="1:9" ht="135.75" customHeight="1">
      <c r="A80" s="181"/>
      <c r="B80" s="183"/>
      <c r="C80" s="177"/>
      <c r="D80" s="164"/>
      <c r="E80" s="216"/>
      <c r="F80" s="164"/>
      <c r="G80" s="172"/>
      <c r="H80" s="172"/>
      <c r="I80" s="164"/>
    </row>
    <row r="81" spans="1:9" ht="12.75">
      <c r="A81" s="166" t="s">
        <v>489</v>
      </c>
      <c r="B81" s="182" t="s">
        <v>463</v>
      </c>
      <c r="C81" s="170">
        <v>2210</v>
      </c>
      <c r="D81" s="164" t="s">
        <v>25</v>
      </c>
      <c r="E81" s="215">
        <v>1663</v>
      </c>
      <c r="F81" s="164" t="s">
        <v>26</v>
      </c>
      <c r="G81" s="172" t="s">
        <v>116</v>
      </c>
      <c r="H81" s="173" t="s">
        <v>556</v>
      </c>
      <c r="I81" s="165"/>
    </row>
    <row r="82" spans="1:9" ht="28.5" customHeight="1">
      <c r="A82" s="175"/>
      <c r="B82" s="183"/>
      <c r="C82" s="180"/>
      <c r="D82" s="164"/>
      <c r="E82" s="216"/>
      <c r="F82" s="164"/>
      <c r="G82" s="172"/>
      <c r="H82" s="176"/>
      <c r="I82" s="174"/>
    </row>
    <row r="83" spans="1:9" ht="12.75">
      <c r="A83" s="166" t="s">
        <v>490</v>
      </c>
      <c r="B83" s="182" t="s">
        <v>464</v>
      </c>
      <c r="C83" s="170">
        <v>2210</v>
      </c>
      <c r="D83" s="164" t="s">
        <v>25</v>
      </c>
      <c r="E83" s="215">
        <v>253</v>
      </c>
      <c r="F83" s="164" t="s">
        <v>26</v>
      </c>
      <c r="G83" s="172" t="s">
        <v>116</v>
      </c>
      <c r="H83" s="173" t="s">
        <v>557</v>
      </c>
      <c r="I83" s="165"/>
    </row>
    <row r="84" spans="1:9" ht="81.75" customHeight="1">
      <c r="A84" s="175"/>
      <c r="B84" s="183"/>
      <c r="C84" s="180"/>
      <c r="D84" s="164"/>
      <c r="E84" s="216"/>
      <c r="F84" s="164"/>
      <c r="G84" s="172"/>
      <c r="H84" s="176"/>
      <c r="I84" s="174"/>
    </row>
    <row r="85" spans="1:9" ht="12.75">
      <c r="A85" s="166" t="s">
        <v>491</v>
      </c>
      <c r="B85" s="182" t="s">
        <v>465</v>
      </c>
      <c r="C85" s="170">
        <v>2210</v>
      </c>
      <c r="D85" s="164" t="s">
        <v>25</v>
      </c>
      <c r="E85" s="215">
        <v>179.9</v>
      </c>
      <c r="F85" s="164" t="s">
        <v>26</v>
      </c>
      <c r="G85" s="172" t="s">
        <v>116</v>
      </c>
      <c r="H85" s="173" t="s">
        <v>558</v>
      </c>
      <c r="I85" s="165"/>
    </row>
    <row r="86" spans="1:9" ht="51" customHeight="1">
      <c r="A86" s="175"/>
      <c r="B86" s="183"/>
      <c r="C86" s="180"/>
      <c r="D86" s="164"/>
      <c r="E86" s="216"/>
      <c r="F86" s="164"/>
      <c r="G86" s="172"/>
      <c r="H86" s="176"/>
      <c r="I86" s="174"/>
    </row>
    <row r="87" spans="1:9" ht="12.75">
      <c r="A87" s="166" t="s">
        <v>492</v>
      </c>
      <c r="B87" s="178" t="s">
        <v>466</v>
      </c>
      <c r="C87" s="170">
        <v>3110</v>
      </c>
      <c r="D87" s="164" t="s">
        <v>25</v>
      </c>
      <c r="E87" s="215">
        <v>188</v>
      </c>
      <c r="F87" s="164" t="s">
        <v>26</v>
      </c>
      <c r="G87" s="172" t="s">
        <v>116</v>
      </c>
      <c r="H87" s="173" t="s">
        <v>559</v>
      </c>
      <c r="I87" s="165"/>
    </row>
    <row r="88" spans="1:9" ht="52.5" customHeight="1">
      <c r="A88" s="175"/>
      <c r="B88" s="179"/>
      <c r="C88" s="180"/>
      <c r="D88" s="164"/>
      <c r="E88" s="216"/>
      <c r="F88" s="164"/>
      <c r="G88" s="172"/>
      <c r="H88" s="176"/>
      <c r="I88" s="174"/>
    </row>
    <row r="89" spans="1:9" ht="12.75">
      <c r="A89" s="166" t="s">
        <v>493</v>
      </c>
      <c r="B89" s="178" t="s">
        <v>468</v>
      </c>
      <c r="C89" s="170">
        <v>3110</v>
      </c>
      <c r="D89" s="164" t="s">
        <v>25</v>
      </c>
      <c r="E89" s="215">
        <v>240</v>
      </c>
      <c r="F89" s="164" t="s">
        <v>26</v>
      </c>
      <c r="G89" s="172" t="s">
        <v>116</v>
      </c>
      <c r="H89" s="173" t="s">
        <v>560</v>
      </c>
      <c r="I89" s="165"/>
    </row>
    <row r="90" spans="1:9" ht="34.5" customHeight="1">
      <c r="A90" s="175"/>
      <c r="B90" s="179"/>
      <c r="C90" s="180"/>
      <c r="D90" s="164"/>
      <c r="E90" s="216"/>
      <c r="F90" s="164"/>
      <c r="G90" s="172"/>
      <c r="H90" s="176"/>
      <c r="I90" s="174"/>
    </row>
    <row r="91" spans="1:9" ht="12.75">
      <c r="A91" s="166" t="s">
        <v>494</v>
      </c>
      <c r="B91" s="178" t="s">
        <v>469</v>
      </c>
      <c r="C91" s="170">
        <v>3110</v>
      </c>
      <c r="D91" s="164" t="s">
        <v>25</v>
      </c>
      <c r="E91" s="215">
        <v>240</v>
      </c>
      <c r="F91" s="164" t="s">
        <v>26</v>
      </c>
      <c r="G91" s="172" t="s">
        <v>116</v>
      </c>
      <c r="H91" s="173" t="s">
        <v>560</v>
      </c>
      <c r="I91" s="165"/>
    </row>
    <row r="92" spans="1:9" ht="70.5" customHeight="1">
      <c r="A92" s="175"/>
      <c r="B92" s="179"/>
      <c r="C92" s="180"/>
      <c r="D92" s="164"/>
      <c r="E92" s="216"/>
      <c r="F92" s="164"/>
      <c r="G92" s="172"/>
      <c r="H92" s="176"/>
      <c r="I92" s="174"/>
    </row>
    <row r="93" spans="1:9" ht="12.75">
      <c r="A93" s="166" t="s">
        <v>495</v>
      </c>
      <c r="B93" s="178" t="s">
        <v>470</v>
      </c>
      <c r="C93" s="170">
        <v>2240</v>
      </c>
      <c r="D93" s="164" t="s">
        <v>25</v>
      </c>
      <c r="E93" s="215">
        <v>384.1</v>
      </c>
      <c r="F93" s="164" t="s">
        <v>26</v>
      </c>
      <c r="G93" s="172" t="s">
        <v>116</v>
      </c>
      <c r="H93" s="173" t="s">
        <v>561</v>
      </c>
      <c r="I93" s="165"/>
    </row>
    <row r="94" spans="1:9" ht="75" customHeight="1">
      <c r="A94" s="175"/>
      <c r="B94" s="179"/>
      <c r="C94" s="180"/>
      <c r="D94" s="164"/>
      <c r="E94" s="216"/>
      <c r="F94" s="164"/>
      <c r="G94" s="172"/>
      <c r="H94" s="176"/>
      <c r="I94" s="174"/>
    </row>
    <row r="95" spans="1:9" ht="12.75">
      <c r="A95" s="166" t="s">
        <v>496</v>
      </c>
      <c r="B95" s="178" t="s">
        <v>487</v>
      </c>
      <c r="C95" s="170">
        <v>2240</v>
      </c>
      <c r="D95" s="164" t="s">
        <v>25</v>
      </c>
      <c r="E95" s="215">
        <v>236.2</v>
      </c>
      <c r="F95" s="164" t="s">
        <v>26</v>
      </c>
      <c r="G95" s="172" t="s">
        <v>116</v>
      </c>
      <c r="H95" s="173" t="s">
        <v>558</v>
      </c>
      <c r="I95" s="165"/>
    </row>
    <row r="96" spans="1:9" ht="67.5" customHeight="1">
      <c r="A96" s="175"/>
      <c r="B96" s="179"/>
      <c r="C96" s="180"/>
      <c r="D96" s="164"/>
      <c r="E96" s="216"/>
      <c r="F96" s="164"/>
      <c r="G96" s="172"/>
      <c r="H96" s="176"/>
      <c r="I96" s="174"/>
    </row>
    <row r="97" spans="1:9" ht="12.75">
      <c r="A97" s="166" t="s">
        <v>497</v>
      </c>
      <c r="B97" s="178" t="s">
        <v>501</v>
      </c>
      <c r="C97" s="170">
        <v>2240</v>
      </c>
      <c r="D97" s="164" t="s">
        <v>25</v>
      </c>
      <c r="E97" s="215">
        <v>600</v>
      </c>
      <c r="F97" s="164" t="s">
        <v>26</v>
      </c>
      <c r="G97" s="172" t="s">
        <v>116</v>
      </c>
      <c r="H97" s="173" t="s">
        <v>562</v>
      </c>
      <c r="I97" s="165"/>
    </row>
    <row r="98" spans="1:9" ht="75" customHeight="1">
      <c r="A98" s="175"/>
      <c r="B98" s="179"/>
      <c r="C98" s="180"/>
      <c r="D98" s="164"/>
      <c r="E98" s="216"/>
      <c r="F98" s="164"/>
      <c r="G98" s="172"/>
      <c r="H98" s="176"/>
      <c r="I98" s="174"/>
    </row>
    <row r="99" spans="1:9" ht="12.75">
      <c r="A99" s="166" t="s">
        <v>537</v>
      </c>
      <c r="B99" s="178" t="s">
        <v>538</v>
      </c>
      <c r="C99" s="170">
        <v>2240</v>
      </c>
      <c r="D99" s="164" t="s">
        <v>25</v>
      </c>
      <c r="E99" s="215">
        <v>208.8</v>
      </c>
      <c r="F99" s="164" t="s">
        <v>26</v>
      </c>
      <c r="G99" s="173"/>
      <c r="H99" s="173" t="s">
        <v>563</v>
      </c>
      <c r="I99" s="165"/>
    </row>
    <row r="100" spans="1:9" ht="143.25" customHeight="1">
      <c r="A100" s="175"/>
      <c r="B100" s="179"/>
      <c r="C100" s="180"/>
      <c r="D100" s="164"/>
      <c r="E100" s="216"/>
      <c r="F100" s="164"/>
      <c r="G100" s="176"/>
      <c r="H100" s="176"/>
      <c r="I100" s="174"/>
    </row>
    <row r="101" spans="1:9" ht="12.75">
      <c r="A101" s="166" t="s">
        <v>542</v>
      </c>
      <c r="B101" s="178" t="s">
        <v>631</v>
      </c>
      <c r="C101" s="170">
        <v>2240</v>
      </c>
      <c r="D101" s="164" t="s">
        <v>25</v>
      </c>
      <c r="E101" s="215">
        <v>207</v>
      </c>
      <c r="F101" s="164" t="s">
        <v>26</v>
      </c>
      <c r="G101" s="173"/>
      <c r="H101" s="173" t="s">
        <v>563</v>
      </c>
      <c r="I101" s="165"/>
    </row>
    <row r="102" spans="1:9" ht="96.75" customHeight="1">
      <c r="A102" s="175"/>
      <c r="B102" s="179"/>
      <c r="C102" s="180"/>
      <c r="D102" s="164"/>
      <c r="E102" s="216"/>
      <c r="F102" s="164"/>
      <c r="G102" s="176"/>
      <c r="H102" s="176"/>
      <c r="I102" s="174"/>
    </row>
    <row r="103" spans="1:9" ht="12.75">
      <c r="A103" s="166" t="s">
        <v>543</v>
      </c>
      <c r="B103" s="178" t="s">
        <v>544</v>
      </c>
      <c r="C103" s="170">
        <v>2210</v>
      </c>
      <c r="D103" s="164" t="s">
        <v>25</v>
      </c>
      <c r="E103" s="215">
        <v>203.8</v>
      </c>
      <c r="F103" s="164" t="s">
        <v>26</v>
      </c>
      <c r="G103" s="173"/>
      <c r="H103" s="173" t="s">
        <v>560</v>
      </c>
      <c r="I103" s="165"/>
    </row>
    <row r="104" spans="1:9" ht="47.25" customHeight="1">
      <c r="A104" s="175"/>
      <c r="B104" s="179"/>
      <c r="C104" s="180"/>
      <c r="D104" s="164"/>
      <c r="E104" s="216"/>
      <c r="F104" s="164"/>
      <c r="G104" s="176"/>
      <c r="H104" s="176"/>
      <c r="I104" s="174"/>
    </row>
    <row r="105" spans="1:9" ht="12.75">
      <c r="A105" s="181" t="s">
        <v>117</v>
      </c>
      <c r="B105" s="181"/>
      <c r="C105" s="181"/>
      <c r="D105" s="181"/>
      <c r="E105" s="83">
        <f>SUM(E14:E104)</f>
        <v>63568.000000000015</v>
      </c>
      <c r="F105" s="104" t="s">
        <v>13</v>
      </c>
      <c r="G105" s="104" t="s">
        <v>13</v>
      </c>
      <c r="H105" s="104" t="s">
        <v>13</v>
      </c>
      <c r="I105" s="104" t="s">
        <v>13</v>
      </c>
    </row>
    <row r="106" spans="1:9" ht="15">
      <c r="A106" s="193" t="s">
        <v>571</v>
      </c>
      <c r="B106" s="193"/>
      <c r="C106" s="193"/>
      <c r="D106" s="193"/>
      <c r="E106" s="193"/>
      <c r="F106" s="193"/>
      <c r="G106" s="193"/>
      <c r="H106" s="193"/>
      <c r="I106" s="193"/>
    </row>
    <row r="107" spans="2:9" ht="12.75">
      <c r="B107" s="7"/>
      <c r="C107" s="7"/>
      <c r="D107" s="7"/>
      <c r="E107" s="7"/>
      <c r="F107" s="7"/>
      <c r="G107" s="5"/>
      <c r="H107" s="5"/>
      <c r="I107" s="5"/>
    </row>
    <row r="108" spans="2:9" ht="15">
      <c r="B108" s="192" t="s">
        <v>62</v>
      </c>
      <c r="C108" s="192"/>
      <c r="D108" s="192"/>
      <c r="E108" s="192"/>
      <c r="F108" s="192"/>
      <c r="G108" s="192"/>
      <c r="H108" s="192"/>
      <c r="I108" s="192"/>
    </row>
    <row r="109" spans="2:9" ht="15">
      <c r="B109" s="192"/>
      <c r="C109" s="192"/>
      <c r="D109" s="192"/>
      <c r="E109" s="192"/>
      <c r="F109" s="192"/>
      <c r="G109" s="192"/>
      <c r="H109" s="192"/>
      <c r="I109" s="192"/>
    </row>
    <row r="110" spans="2:9" ht="15">
      <c r="B110" s="192" t="s">
        <v>63</v>
      </c>
      <c r="C110" s="192"/>
      <c r="D110" s="192"/>
      <c r="E110" s="192"/>
      <c r="F110" s="192"/>
      <c r="G110" s="192"/>
      <c r="H110" s="192"/>
      <c r="I110" s="192"/>
    </row>
    <row r="111" spans="2:8" ht="15">
      <c r="B111" s="2" t="s">
        <v>64</v>
      </c>
      <c r="C111" s="2"/>
      <c r="D111" s="3"/>
      <c r="E111" s="3"/>
      <c r="F111" s="4"/>
      <c r="G111" s="4"/>
      <c r="H111" s="4"/>
    </row>
  </sheetData>
  <sheetProtection/>
  <mergeCells count="393">
    <mergeCell ref="E95:E96"/>
    <mergeCell ref="E97:E98"/>
    <mergeCell ref="E99:E100"/>
    <mergeCell ref="E101:E102"/>
    <mergeCell ref="E103:E104"/>
    <mergeCell ref="E83:E84"/>
    <mergeCell ref="E85:E86"/>
    <mergeCell ref="E87:E88"/>
    <mergeCell ref="E89:E90"/>
    <mergeCell ref="E91:E92"/>
    <mergeCell ref="E66:E67"/>
    <mergeCell ref="E68:E69"/>
    <mergeCell ref="E93:E94"/>
    <mergeCell ref="E70:E72"/>
    <mergeCell ref="E73:E74"/>
    <mergeCell ref="E75:E76"/>
    <mergeCell ref="E77:E78"/>
    <mergeCell ref="E79:E80"/>
    <mergeCell ref="E81:E82"/>
    <mergeCell ref="E46:E47"/>
    <mergeCell ref="E48:E49"/>
    <mergeCell ref="E50:E51"/>
    <mergeCell ref="E58:E59"/>
    <mergeCell ref="E60:E61"/>
    <mergeCell ref="E62:E63"/>
    <mergeCell ref="A105:D105"/>
    <mergeCell ref="A106:I106"/>
    <mergeCell ref="B108:I108"/>
    <mergeCell ref="B109:I109"/>
    <mergeCell ref="B110:I110"/>
    <mergeCell ref="E14:E15"/>
    <mergeCell ref="E16:E17"/>
    <mergeCell ref="E18:E19"/>
    <mergeCell ref="E20:E21"/>
    <mergeCell ref="E22:E23"/>
    <mergeCell ref="H101:H102"/>
    <mergeCell ref="I101:I102"/>
    <mergeCell ref="A103:A104"/>
    <mergeCell ref="B103:B104"/>
    <mergeCell ref="C103:C104"/>
    <mergeCell ref="D103:D104"/>
    <mergeCell ref="F103:F104"/>
    <mergeCell ref="G103:G104"/>
    <mergeCell ref="H103:H104"/>
    <mergeCell ref="I103:I104"/>
    <mergeCell ref="A101:A102"/>
    <mergeCell ref="B101:B102"/>
    <mergeCell ref="C101:C102"/>
    <mergeCell ref="D101:D102"/>
    <mergeCell ref="F101:F102"/>
    <mergeCell ref="G101:G102"/>
    <mergeCell ref="H97:H98"/>
    <mergeCell ref="I97:I98"/>
    <mergeCell ref="A99:A100"/>
    <mergeCell ref="B99:B100"/>
    <mergeCell ref="C99:C100"/>
    <mergeCell ref="D99:D100"/>
    <mergeCell ref="F99:F100"/>
    <mergeCell ref="G99:G100"/>
    <mergeCell ref="H99:H100"/>
    <mergeCell ref="I99:I100"/>
    <mergeCell ref="A97:A98"/>
    <mergeCell ref="B97:B98"/>
    <mergeCell ref="C97:C98"/>
    <mergeCell ref="D97:D98"/>
    <mergeCell ref="F97:F98"/>
    <mergeCell ref="G97:G98"/>
    <mergeCell ref="H93:H94"/>
    <mergeCell ref="I93:I94"/>
    <mergeCell ref="A95:A96"/>
    <mergeCell ref="B95:B96"/>
    <mergeCell ref="C95:C96"/>
    <mergeCell ref="D95:D96"/>
    <mergeCell ref="F95:F96"/>
    <mergeCell ref="G95:G96"/>
    <mergeCell ref="H95:H96"/>
    <mergeCell ref="I95:I96"/>
    <mergeCell ref="A93:A94"/>
    <mergeCell ref="B93:B94"/>
    <mergeCell ref="C93:C94"/>
    <mergeCell ref="D93:D94"/>
    <mergeCell ref="F93:F94"/>
    <mergeCell ref="G93:G94"/>
    <mergeCell ref="H89:H90"/>
    <mergeCell ref="I89:I90"/>
    <mergeCell ref="A91:A92"/>
    <mergeCell ref="B91:B92"/>
    <mergeCell ref="C91:C92"/>
    <mergeCell ref="D91:D92"/>
    <mergeCell ref="F91:F92"/>
    <mergeCell ref="G91:G92"/>
    <mergeCell ref="H91:H92"/>
    <mergeCell ref="I91:I92"/>
    <mergeCell ref="A89:A90"/>
    <mergeCell ref="B89:B90"/>
    <mergeCell ref="C89:C90"/>
    <mergeCell ref="D89:D90"/>
    <mergeCell ref="F89:F90"/>
    <mergeCell ref="G89:G90"/>
    <mergeCell ref="H85:H86"/>
    <mergeCell ref="I85:I86"/>
    <mergeCell ref="A87:A88"/>
    <mergeCell ref="B87:B88"/>
    <mergeCell ref="C87:C88"/>
    <mergeCell ref="D87:D88"/>
    <mergeCell ref="F87:F88"/>
    <mergeCell ref="G87:G88"/>
    <mergeCell ref="H87:H88"/>
    <mergeCell ref="I87:I88"/>
    <mergeCell ref="A85:A86"/>
    <mergeCell ref="B85:B86"/>
    <mergeCell ref="C85:C86"/>
    <mergeCell ref="D85:D86"/>
    <mergeCell ref="F85:F86"/>
    <mergeCell ref="G85:G86"/>
    <mergeCell ref="H81:H82"/>
    <mergeCell ref="I81:I82"/>
    <mergeCell ref="A83:A84"/>
    <mergeCell ref="B83:B84"/>
    <mergeCell ref="C83:C84"/>
    <mergeCell ref="D83:D84"/>
    <mergeCell ref="F83:F84"/>
    <mergeCell ref="G83:G84"/>
    <mergeCell ref="H83:H84"/>
    <mergeCell ref="I83:I84"/>
    <mergeCell ref="A81:A82"/>
    <mergeCell ref="B81:B82"/>
    <mergeCell ref="C81:C82"/>
    <mergeCell ref="D81:D82"/>
    <mergeCell ref="F81:F82"/>
    <mergeCell ref="G81:G82"/>
    <mergeCell ref="H77:H78"/>
    <mergeCell ref="I77:I78"/>
    <mergeCell ref="A79:A80"/>
    <mergeCell ref="B79:B80"/>
    <mergeCell ref="C79:C80"/>
    <mergeCell ref="D79:D80"/>
    <mergeCell ref="F79:F80"/>
    <mergeCell ref="G79:G80"/>
    <mergeCell ref="H79:H80"/>
    <mergeCell ref="I79:I80"/>
    <mergeCell ref="A77:A78"/>
    <mergeCell ref="B77:B78"/>
    <mergeCell ref="C77:C78"/>
    <mergeCell ref="D77:D78"/>
    <mergeCell ref="F77:F78"/>
    <mergeCell ref="G77:G78"/>
    <mergeCell ref="H73:H74"/>
    <mergeCell ref="I73:I74"/>
    <mergeCell ref="A75:A76"/>
    <mergeCell ref="B75:B76"/>
    <mergeCell ref="C75:C76"/>
    <mergeCell ref="D75:D76"/>
    <mergeCell ref="F75:F76"/>
    <mergeCell ref="G75:G76"/>
    <mergeCell ref="H75:H76"/>
    <mergeCell ref="I75:I76"/>
    <mergeCell ref="A73:A74"/>
    <mergeCell ref="B73:B74"/>
    <mergeCell ref="C73:C74"/>
    <mergeCell ref="D73:D74"/>
    <mergeCell ref="F73:F74"/>
    <mergeCell ref="G73:G74"/>
    <mergeCell ref="H68:H69"/>
    <mergeCell ref="I68:I69"/>
    <mergeCell ref="A70:A72"/>
    <mergeCell ref="B70:B72"/>
    <mergeCell ref="C70:C72"/>
    <mergeCell ref="D70:D72"/>
    <mergeCell ref="F70:F72"/>
    <mergeCell ref="G70:G72"/>
    <mergeCell ref="H70:H72"/>
    <mergeCell ref="I70:I72"/>
    <mergeCell ref="A68:A69"/>
    <mergeCell ref="B68:B69"/>
    <mergeCell ref="C68:C69"/>
    <mergeCell ref="D68:D69"/>
    <mergeCell ref="F68:F69"/>
    <mergeCell ref="G68:G69"/>
    <mergeCell ref="H64:H65"/>
    <mergeCell ref="I64:I65"/>
    <mergeCell ref="A66:A67"/>
    <mergeCell ref="B66:B67"/>
    <mergeCell ref="C66:C67"/>
    <mergeCell ref="D66:D67"/>
    <mergeCell ref="F66:F67"/>
    <mergeCell ref="G66:G67"/>
    <mergeCell ref="H66:H67"/>
    <mergeCell ref="I66:I67"/>
    <mergeCell ref="A64:A65"/>
    <mergeCell ref="B64:B65"/>
    <mergeCell ref="C64:C65"/>
    <mergeCell ref="D64:D65"/>
    <mergeCell ref="F64:F65"/>
    <mergeCell ref="G64:G65"/>
    <mergeCell ref="E64:E65"/>
    <mergeCell ref="I60:I61"/>
    <mergeCell ref="A62:A63"/>
    <mergeCell ref="B62:B63"/>
    <mergeCell ref="C62:C63"/>
    <mergeCell ref="D62:D63"/>
    <mergeCell ref="F62:F63"/>
    <mergeCell ref="G62:G63"/>
    <mergeCell ref="H62:H63"/>
    <mergeCell ref="I62:I63"/>
    <mergeCell ref="H58:H59"/>
    <mergeCell ref="I58:I59"/>
    <mergeCell ref="E56:E57"/>
    <mergeCell ref="A60:A61"/>
    <mergeCell ref="B60:B61"/>
    <mergeCell ref="C60:C61"/>
    <mergeCell ref="D60:D61"/>
    <mergeCell ref="F60:F61"/>
    <mergeCell ref="G60:G61"/>
    <mergeCell ref="H60:H61"/>
    <mergeCell ref="H56:H57"/>
    <mergeCell ref="E54:E55"/>
    <mergeCell ref="A54:A55"/>
    <mergeCell ref="I56:I57"/>
    <mergeCell ref="A58:A59"/>
    <mergeCell ref="B58:B59"/>
    <mergeCell ref="C58:C59"/>
    <mergeCell ref="D58:D59"/>
    <mergeCell ref="F58:F59"/>
    <mergeCell ref="G58:G59"/>
    <mergeCell ref="A56:A57"/>
    <mergeCell ref="B56:B57"/>
    <mergeCell ref="C56:C57"/>
    <mergeCell ref="D56:D57"/>
    <mergeCell ref="F56:F57"/>
    <mergeCell ref="G56:G57"/>
    <mergeCell ref="B54:B55"/>
    <mergeCell ref="C54:C55"/>
    <mergeCell ref="D54:D55"/>
    <mergeCell ref="F54:F55"/>
    <mergeCell ref="G54:G55"/>
    <mergeCell ref="H50:H51"/>
    <mergeCell ref="H52:H53"/>
    <mergeCell ref="H54:H55"/>
    <mergeCell ref="A52:A53"/>
    <mergeCell ref="B52:B53"/>
    <mergeCell ref="C52:C53"/>
    <mergeCell ref="D52:D53"/>
    <mergeCell ref="F52:F53"/>
    <mergeCell ref="G52:G53"/>
    <mergeCell ref="E52:E53"/>
    <mergeCell ref="A50:A51"/>
    <mergeCell ref="B50:B51"/>
    <mergeCell ref="C50:C51"/>
    <mergeCell ref="D50:D51"/>
    <mergeCell ref="F50:F51"/>
    <mergeCell ref="G50:G51"/>
    <mergeCell ref="H46:H47"/>
    <mergeCell ref="A48:A49"/>
    <mergeCell ref="B48:B49"/>
    <mergeCell ref="C48:C49"/>
    <mergeCell ref="D48:D49"/>
    <mergeCell ref="F48:F49"/>
    <mergeCell ref="G48:G49"/>
    <mergeCell ref="H48:H49"/>
    <mergeCell ref="A46:A47"/>
    <mergeCell ref="B46:B47"/>
    <mergeCell ref="C46:C47"/>
    <mergeCell ref="D46:D47"/>
    <mergeCell ref="F46:F47"/>
    <mergeCell ref="G46:G47"/>
    <mergeCell ref="H42:H43"/>
    <mergeCell ref="A44:A45"/>
    <mergeCell ref="B44:B45"/>
    <mergeCell ref="C44:C45"/>
    <mergeCell ref="D44:D45"/>
    <mergeCell ref="F44:F45"/>
    <mergeCell ref="G44:G45"/>
    <mergeCell ref="H44:H45"/>
    <mergeCell ref="A42:A43"/>
    <mergeCell ref="B42:B43"/>
    <mergeCell ref="C42:C43"/>
    <mergeCell ref="D42:D43"/>
    <mergeCell ref="F42:F43"/>
    <mergeCell ref="G42:G43"/>
    <mergeCell ref="E42:E43"/>
    <mergeCell ref="E44:E45"/>
    <mergeCell ref="I38:I39"/>
    <mergeCell ref="A40:A41"/>
    <mergeCell ref="B40:B41"/>
    <mergeCell ref="C40:C41"/>
    <mergeCell ref="D40:D41"/>
    <mergeCell ref="F40:F41"/>
    <mergeCell ref="G40:G41"/>
    <mergeCell ref="H40:H41"/>
    <mergeCell ref="E38:E39"/>
    <mergeCell ref="E40:E41"/>
    <mergeCell ref="H36:H37"/>
    <mergeCell ref="E34:E35"/>
    <mergeCell ref="E36:E37"/>
    <mergeCell ref="A38:A39"/>
    <mergeCell ref="B38:B39"/>
    <mergeCell ref="C38:C39"/>
    <mergeCell ref="D38:D39"/>
    <mergeCell ref="F38:F39"/>
    <mergeCell ref="G38:G39"/>
    <mergeCell ref="H38:H39"/>
    <mergeCell ref="H34:H35"/>
    <mergeCell ref="E32:E33"/>
    <mergeCell ref="A32:A33"/>
    <mergeCell ref="I34:I35"/>
    <mergeCell ref="A36:A37"/>
    <mergeCell ref="B36:B37"/>
    <mergeCell ref="C36:C37"/>
    <mergeCell ref="D36:D37"/>
    <mergeCell ref="F36:F37"/>
    <mergeCell ref="G36:G37"/>
    <mergeCell ref="A34:A35"/>
    <mergeCell ref="B34:B35"/>
    <mergeCell ref="C34:C35"/>
    <mergeCell ref="D34:D35"/>
    <mergeCell ref="F34:F35"/>
    <mergeCell ref="G34:G35"/>
    <mergeCell ref="B32:B33"/>
    <mergeCell ref="C32:C33"/>
    <mergeCell ref="D32:D33"/>
    <mergeCell ref="F32:F33"/>
    <mergeCell ref="G32:G33"/>
    <mergeCell ref="H28:H29"/>
    <mergeCell ref="H30:H31"/>
    <mergeCell ref="E28:E29"/>
    <mergeCell ref="H32:H33"/>
    <mergeCell ref="A30:A31"/>
    <mergeCell ref="B30:B31"/>
    <mergeCell ref="C30:C31"/>
    <mergeCell ref="D30:D31"/>
    <mergeCell ref="F30:F31"/>
    <mergeCell ref="G30:G31"/>
    <mergeCell ref="E30:E31"/>
    <mergeCell ref="A28:A29"/>
    <mergeCell ref="B28:B29"/>
    <mergeCell ref="C28:C29"/>
    <mergeCell ref="D28:D29"/>
    <mergeCell ref="F28:F29"/>
    <mergeCell ref="G28:G29"/>
    <mergeCell ref="H24:H25"/>
    <mergeCell ref="A26:A27"/>
    <mergeCell ref="B26:B27"/>
    <mergeCell ref="C26:C27"/>
    <mergeCell ref="D26:D27"/>
    <mergeCell ref="F26:F27"/>
    <mergeCell ref="G26:G27"/>
    <mergeCell ref="H26:H27"/>
    <mergeCell ref="E24:E25"/>
    <mergeCell ref="E26:E27"/>
    <mergeCell ref="A24:A25"/>
    <mergeCell ref="B24:B25"/>
    <mergeCell ref="C24:C25"/>
    <mergeCell ref="D24:D25"/>
    <mergeCell ref="F24:F25"/>
    <mergeCell ref="G24:G25"/>
    <mergeCell ref="H20:H21"/>
    <mergeCell ref="A22:A23"/>
    <mergeCell ref="B22:B23"/>
    <mergeCell ref="C22:C23"/>
    <mergeCell ref="D22:D23"/>
    <mergeCell ref="F22:F23"/>
    <mergeCell ref="G22:G23"/>
    <mergeCell ref="H22:H23"/>
    <mergeCell ref="A20:A21"/>
    <mergeCell ref="B20:B21"/>
    <mergeCell ref="C20:C21"/>
    <mergeCell ref="D20:D21"/>
    <mergeCell ref="F20:F21"/>
    <mergeCell ref="G20:G21"/>
    <mergeCell ref="H16:H17"/>
    <mergeCell ref="A18:A19"/>
    <mergeCell ref="B18:B19"/>
    <mergeCell ref="C18:C19"/>
    <mergeCell ref="D18:D19"/>
    <mergeCell ref="F18:F19"/>
    <mergeCell ref="G18:G19"/>
    <mergeCell ref="H18:H19"/>
    <mergeCell ref="A16:A17"/>
    <mergeCell ref="B16:B17"/>
    <mergeCell ref="C16:C17"/>
    <mergeCell ref="D16:D17"/>
    <mergeCell ref="F16:F17"/>
    <mergeCell ref="G16:G17"/>
    <mergeCell ref="A10:I10"/>
    <mergeCell ref="A11:I11"/>
    <mergeCell ref="A14:A15"/>
    <mergeCell ref="B14:B15"/>
    <mergeCell ref="C14:C15"/>
    <mergeCell ref="D14:D15"/>
    <mergeCell ref="F14:F15"/>
    <mergeCell ref="G14:G15"/>
    <mergeCell ref="H14:H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2014-12-25T12:34:20Z</cp:lastPrinted>
  <dcterms:created xsi:type="dcterms:W3CDTF">2009-02-24T09:28:33Z</dcterms:created>
  <dcterms:modified xsi:type="dcterms:W3CDTF">2014-12-29T08:46:27Z</dcterms:modified>
  <cp:category/>
  <cp:version/>
  <cp:contentType/>
  <cp:contentStatus/>
</cp:coreProperties>
</file>