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48" windowWidth="12000" windowHeight="6420" tabRatio="807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пок.'!$30:$32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Коефіцієнти'!$A$1:$H$28</definedName>
    <definedName name="_xlnm.Print_Area" localSheetId="6">'6.1. Інша інфо_1'!$A$1:$O$80</definedName>
    <definedName name="_xlnm.Print_Area" localSheetId="7">'6.2. Інша інфо_2'!$A$1:$AF$63</definedName>
    <definedName name="_xlnm.Print_Area" localSheetId="1">'I. Фін результат'!$A$1:$I$131</definedName>
    <definedName name="_xlnm.Print_Area" localSheetId="4">'IV. Кап. інвестиції'!$A$1:$H$17</definedName>
    <definedName name="_xlnm.Print_Area" localSheetId="2">'ІІ. Розр. з бюджетом'!$A$1:$H$49</definedName>
    <definedName name="_xlnm.Print_Area" localSheetId="3">'ІІІ. Рух грош. коштів'!$A$1:$H$96</definedName>
    <definedName name="_xlnm.Print_Area" localSheetId="0">'Осн. фін. пок.'!$A$1:$H$177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D99" i="2" l="1"/>
  <c r="D104" i="2"/>
  <c r="D90" i="2"/>
  <c r="F94" i="14" l="1"/>
  <c r="F83" i="14"/>
  <c r="G18" i="11"/>
  <c r="F18" i="11"/>
  <c r="H22" i="19"/>
  <c r="H7" i="19"/>
  <c r="X31" i="9"/>
  <c r="X36" i="9"/>
  <c r="X37" i="9"/>
  <c r="X30" i="9"/>
  <c r="V39" i="9"/>
  <c r="F22" i="19" l="1"/>
  <c r="G19" i="11"/>
  <c r="F19" i="11"/>
  <c r="F22" i="2" l="1"/>
  <c r="F9" i="2"/>
  <c r="F50" i="18" l="1"/>
  <c r="F26" i="18"/>
  <c r="F23" i="18"/>
  <c r="X17" i="9" l="1"/>
  <c r="I50" i="10"/>
  <c r="F50" i="10"/>
  <c r="C66" i="14" l="1"/>
  <c r="C67" i="14"/>
  <c r="C61" i="14"/>
  <c r="C62" i="14"/>
  <c r="U17" i="9"/>
  <c r="D50" i="10"/>
  <c r="P17" i="10" l="1"/>
  <c r="F22" i="10"/>
  <c r="F21" i="10"/>
  <c r="E61" i="18"/>
  <c r="O50" i="10" l="1"/>
  <c r="L50" i="10" l="1"/>
  <c r="H79" i="2"/>
  <c r="H80" i="2"/>
  <c r="H81" i="2"/>
  <c r="H83" i="2"/>
  <c r="D67" i="18"/>
  <c r="H8" i="3"/>
  <c r="W39" i="9"/>
  <c r="Q17" i="10"/>
  <c r="O34" i="10"/>
  <c r="O33" i="10"/>
  <c r="L34" i="10"/>
  <c r="L35" i="10"/>
  <c r="L33" i="10"/>
  <c r="K38" i="10"/>
  <c r="F64" i="18" l="1"/>
  <c r="F61" i="18" s="1"/>
  <c r="D91" i="18"/>
  <c r="D50" i="18"/>
  <c r="D43" i="18"/>
  <c r="F25" i="18" l="1"/>
  <c r="D25" i="18" s="1"/>
  <c r="D64" i="18"/>
  <c r="D61" i="18" s="1"/>
  <c r="E38" i="10" l="1"/>
  <c r="D19" i="11"/>
  <c r="D16" i="11"/>
  <c r="D15" i="11"/>
  <c r="D14" i="11"/>
  <c r="D13" i="11"/>
  <c r="D8" i="11"/>
  <c r="D9" i="11"/>
  <c r="D10" i="11"/>
  <c r="D11" i="11"/>
  <c r="D7" i="11"/>
  <c r="D163" i="14"/>
  <c r="H38" i="10"/>
  <c r="AH40" i="9" l="1"/>
  <c r="G27" i="18"/>
  <c r="H27" i="18"/>
  <c r="D27" i="18"/>
  <c r="D22" i="19"/>
  <c r="AD31" i="9" l="1"/>
  <c r="AD32" i="9"/>
  <c r="AD33" i="9"/>
  <c r="AD34" i="9"/>
  <c r="AD35" i="9"/>
  <c r="AD36" i="9"/>
  <c r="AD37" i="9"/>
  <c r="AD38" i="9"/>
  <c r="AD39" i="9"/>
  <c r="V40" i="9"/>
  <c r="H65" i="2" l="1"/>
  <c r="G14" i="11" l="1"/>
  <c r="G15" i="11"/>
  <c r="D8" i="3"/>
  <c r="D10" i="3"/>
  <c r="D11" i="3"/>
  <c r="D12" i="3"/>
  <c r="D7" i="3"/>
  <c r="D42" i="18"/>
  <c r="D41" i="18"/>
  <c r="D37" i="18"/>
  <c r="D36" i="18"/>
  <c r="D35" i="18"/>
  <c r="D34" i="18"/>
  <c r="D33" i="18"/>
  <c r="D11" i="18"/>
  <c r="D8" i="18"/>
  <c r="D43" i="19"/>
  <c r="D39" i="19"/>
  <c r="D38" i="19"/>
  <c r="D37" i="19"/>
  <c r="D35" i="19"/>
  <c r="D34" i="19"/>
  <c r="D33" i="19"/>
  <c r="D32" i="19"/>
  <c r="D30" i="19"/>
  <c r="D23" i="19"/>
  <c r="D123" i="2"/>
  <c r="D124" i="2"/>
  <c r="D125" i="2"/>
  <c r="D122" i="2"/>
  <c r="D121" i="2"/>
  <c r="D120" i="2"/>
  <c r="D100" i="2"/>
  <c r="D98" i="2"/>
  <c r="D95" i="2"/>
  <c r="D94" i="2"/>
  <c r="D79" i="2"/>
  <c r="D82" i="2"/>
  <c r="D83" i="2"/>
  <c r="D78" i="2"/>
  <c r="D66" i="2"/>
  <c r="D67" i="2"/>
  <c r="D68" i="2"/>
  <c r="D69" i="2"/>
  <c r="D65" i="2"/>
  <c r="D52" i="2"/>
  <c r="D51" i="2"/>
  <c r="D50" i="2"/>
  <c r="D49" i="2"/>
  <c r="D48" i="2"/>
  <c r="D47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25" i="2"/>
  <c r="D21" i="2"/>
  <c r="D20" i="2"/>
  <c r="D19" i="2"/>
  <c r="D18" i="2"/>
  <c r="D17" i="2"/>
  <c r="D10" i="2"/>
  <c r="D11" i="2"/>
  <c r="D12" i="2"/>
  <c r="D13" i="2"/>
  <c r="D14" i="2"/>
  <c r="D15" i="2"/>
  <c r="D7" i="2"/>
  <c r="D55" i="10" l="1"/>
  <c r="G55" i="10"/>
  <c r="D31" i="18" l="1"/>
  <c r="D30" i="18"/>
  <c r="D29" i="18"/>
  <c r="D9" i="18"/>
  <c r="D10" i="18"/>
  <c r="D77" i="2"/>
  <c r="W32" i="9" l="1"/>
  <c r="W33" i="9"/>
  <c r="W34" i="9"/>
  <c r="W35" i="9"/>
  <c r="W36" i="9"/>
  <c r="W37" i="9"/>
  <c r="W38" i="9"/>
  <c r="W30" i="9"/>
  <c r="W31" i="9"/>
  <c r="AC31" i="9"/>
  <c r="AF31" i="9" s="1"/>
  <c r="AC32" i="9"/>
  <c r="AC33" i="9"/>
  <c r="AC34" i="9"/>
  <c r="AC35" i="9"/>
  <c r="AC36" i="9"/>
  <c r="AF36" i="9" s="1"/>
  <c r="AC37" i="9"/>
  <c r="AF37" i="9" s="1"/>
  <c r="AC38" i="9"/>
  <c r="AD30" i="9"/>
  <c r="AD40" i="9" s="1"/>
  <c r="W40" i="9" l="1"/>
  <c r="AE35" i="9"/>
  <c r="AE34" i="9"/>
  <c r="AE38" i="9"/>
  <c r="AE36" i="9"/>
  <c r="AE33" i="9"/>
  <c r="AE37" i="9"/>
  <c r="AE31" i="9"/>
  <c r="AE32" i="9"/>
  <c r="D145" i="14"/>
  <c r="D139" i="14"/>
  <c r="D140" i="14"/>
  <c r="D141" i="14"/>
  <c r="D137" i="14"/>
  <c r="D62" i="14"/>
  <c r="F62" i="14"/>
  <c r="E62" i="14"/>
  <c r="G100" i="2" l="1"/>
  <c r="D9" i="3" l="1"/>
  <c r="D26" i="18"/>
  <c r="D85" i="2"/>
  <c r="D84" i="2"/>
  <c r="D81" i="2"/>
  <c r="D80" i="2"/>
  <c r="D9" i="2"/>
  <c r="D23" i="18" l="1"/>
  <c r="D22" i="2"/>
  <c r="D146" i="14" l="1"/>
  <c r="D143" i="14"/>
  <c r="E19" i="11"/>
  <c r="E15" i="11"/>
  <c r="D81" i="18"/>
  <c r="D79" i="18" s="1"/>
  <c r="D74" i="18"/>
  <c r="D72" i="18" s="1"/>
  <c r="D53" i="18"/>
  <c r="D38" i="18"/>
  <c r="D32" i="18" s="1"/>
  <c r="D19" i="18"/>
  <c r="D7" i="18"/>
  <c r="D41" i="19"/>
  <c r="D36" i="19"/>
  <c r="D31" i="19"/>
  <c r="D21" i="19"/>
  <c r="D9" i="19"/>
  <c r="D119" i="2"/>
  <c r="D126" i="2" s="1"/>
  <c r="D116" i="2"/>
  <c r="D115" i="2"/>
  <c r="D114" i="2"/>
  <c r="D113" i="2"/>
  <c r="D112" i="2"/>
  <c r="D96" i="2"/>
  <c r="D93" i="2"/>
  <c r="D91" i="2" s="1"/>
  <c r="D76" i="2"/>
  <c r="D70" i="2" s="1"/>
  <c r="D64" i="2"/>
  <c r="D61" i="2" s="1"/>
  <c r="D53" i="2"/>
  <c r="D46" i="2"/>
  <c r="D24" i="2"/>
  <c r="D16" i="2"/>
  <c r="D8" i="2" s="1"/>
  <c r="I17" i="10"/>
  <c r="D89" i="18" l="1"/>
  <c r="D149" i="14"/>
  <c r="E14" i="11" s="1"/>
  <c r="D44" i="19"/>
  <c r="D70" i="18"/>
  <c r="D107" i="2"/>
  <c r="D133" i="2"/>
  <c r="D108" i="2"/>
  <c r="D23" i="2"/>
  <c r="D86" i="2" s="1"/>
  <c r="D111" i="2" s="1"/>
  <c r="D117" i="2" s="1"/>
  <c r="D134" i="2" l="1"/>
  <c r="D135" i="2" s="1"/>
  <c r="D138" i="2" s="1"/>
  <c r="D61" i="14"/>
  <c r="D66" i="14" s="1"/>
  <c r="D105" i="2"/>
  <c r="D19" i="19"/>
  <c r="D7" i="19" l="1"/>
  <c r="D84" i="14"/>
  <c r="D94" i="14" s="1"/>
  <c r="F119" i="2"/>
  <c r="E119" i="2" l="1"/>
  <c r="E76" i="2"/>
  <c r="G84" i="2"/>
  <c r="G83" i="2"/>
  <c r="C28" i="10"/>
  <c r="C37" i="10" s="1"/>
  <c r="C172" i="14" s="1"/>
  <c r="C27" i="10"/>
  <c r="C36" i="10" s="1"/>
  <c r="C171" i="14" s="1"/>
  <c r="C26" i="10"/>
  <c r="C170" i="14" s="1"/>
  <c r="C17" i="10"/>
  <c r="C166" i="14" s="1"/>
  <c r="C11" i="10"/>
  <c r="C6" i="3"/>
  <c r="D17" i="11" l="1"/>
  <c r="D18" i="11"/>
  <c r="C23" i="10"/>
  <c r="C29" i="10" s="1"/>
  <c r="C167" i="14" s="1"/>
  <c r="D6" i="3"/>
  <c r="AA32" i="9"/>
  <c r="AA33" i="9"/>
  <c r="AA35" i="9"/>
  <c r="AA37" i="9"/>
  <c r="AA38" i="9"/>
  <c r="S32" i="9"/>
  <c r="S33" i="9"/>
  <c r="S35" i="9"/>
  <c r="S37" i="9"/>
  <c r="S38" i="9"/>
  <c r="O32" i="9"/>
  <c r="O33" i="9"/>
  <c r="O35" i="9"/>
  <c r="O37" i="9"/>
  <c r="O38" i="9"/>
  <c r="G17" i="11" l="1"/>
  <c r="G50" i="18"/>
  <c r="G39" i="18"/>
  <c r="G41" i="18"/>
  <c r="G42" i="18"/>
  <c r="F7" i="18"/>
  <c r="G34" i="19"/>
  <c r="G33" i="19"/>
  <c r="G32" i="19"/>
  <c r="H50" i="18" l="1"/>
  <c r="G38" i="18"/>
  <c r="E138" i="14" l="1"/>
  <c r="F138" i="14"/>
  <c r="D138" i="14" s="1"/>
  <c r="F143" i="14"/>
  <c r="F146" i="14"/>
  <c r="I26" i="10" l="1"/>
  <c r="I27" i="10"/>
  <c r="I28" i="10"/>
  <c r="F76" i="2"/>
  <c r="F46" i="2"/>
  <c r="F16" i="2"/>
  <c r="I23" i="10" l="1"/>
  <c r="F8" i="2"/>
  <c r="E143" i="14"/>
  <c r="F93" i="2"/>
  <c r="F64" i="2"/>
  <c r="F27" i="10"/>
  <c r="F36" i="10" s="1"/>
  <c r="F28" i="10"/>
  <c r="F37" i="10" s="1"/>
  <c r="F26" i="10"/>
  <c r="F32" i="10" s="1"/>
  <c r="F99" i="2" l="1"/>
  <c r="F141" i="2"/>
  <c r="F23" i="10"/>
  <c r="E7" i="18"/>
  <c r="G17" i="18"/>
  <c r="H17" i="18"/>
  <c r="E93" i="2"/>
  <c r="G93" i="2" s="1"/>
  <c r="E64" i="2"/>
  <c r="E46" i="2"/>
  <c r="E16" i="2"/>
  <c r="E38" i="18"/>
  <c r="F38" i="18"/>
  <c r="H42" i="18"/>
  <c r="H41" i="18"/>
  <c r="G16" i="18"/>
  <c r="G15" i="18"/>
  <c r="G14" i="18"/>
  <c r="H13" i="18"/>
  <c r="H12" i="18"/>
  <c r="G12" i="18"/>
  <c r="F23" i="2"/>
  <c r="H95" i="2"/>
  <c r="G95" i="2"/>
  <c r="H94" i="2"/>
  <c r="G94" i="2"/>
  <c r="H85" i="2"/>
  <c r="G85" i="2"/>
  <c r="G82" i="2"/>
  <c r="G81" i="2"/>
  <c r="G80" i="2"/>
  <c r="G79" i="2"/>
  <c r="H78" i="2"/>
  <c r="G78" i="2"/>
  <c r="G77" i="2"/>
  <c r="G69" i="2"/>
  <c r="G68" i="2"/>
  <c r="G67" i="2"/>
  <c r="H66" i="2"/>
  <c r="G66" i="2"/>
  <c r="G65" i="2"/>
  <c r="G47" i="2"/>
  <c r="H47" i="2"/>
  <c r="G48" i="2"/>
  <c r="H48" i="2"/>
  <c r="G49" i="2"/>
  <c r="H49" i="2"/>
  <c r="G50" i="2"/>
  <c r="H50" i="2"/>
  <c r="G51" i="2"/>
  <c r="H51" i="2"/>
  <c r="G52" i="2"/>
  <c r="H52" i="2"/>
  <c r="G54" i="2"/>
  <c r="G17" i="2"/>
  <c r="H17" i="2"/>
  <c r="G18" i="2"/>
  <c r="H18" i="2"/>
  <c r="G19" i="2"/>
  <c r="H19" i="2"/>
  <c r="G20" i="2"/>
  <c r="H20" i="2"/>
  <c r="G21" i="2"/>
  <c r="H21" i="2"/>
  <c r="G22" i="2"/>
  <c r="H22" i="2"/>
  <c r="G13" i="18" l="1"/>
  <c r="T57" i="9" l="1"/>
  <c r="R57" i="9"/>
  <c r="P57" i="9"/>
  <c r="N50" i="9"/>
  <c r="N51" i="9"/>
  <c r="N52" i="9"/>
  <c r="N53" i="9"/>
  <c r="N54" i="9"/>
  <c r="N55" i="9"/>
  <c r="N56" i="9"/>
  <c r="L57" i="9"/>
  <c r="J57" i="9"/>
  <c r="H57" i="9"/>
  <c r="F57" i="9"/>
  <c r="G139" i="14"/>
  <c r="H139" i="14"/>
  <c r="G140" i="14"/>
  <c r="H140" i="14"/>
  <c r="G141" i="14"/>
  <c r="H141" i="14"/>
  <c r="G143" i="14"/>
  <c r="H143" i="14"/>
  <c r="G144" i="14"/>
  <c r="G145" i="14"/>
  <c r="H145" i="14"/>
  <c r="G147" i="14"/>
  <c r="G148" i="14"/>
  <c r="G149" i="14"/>
  <c r="H149" i="14"/>
  <c r="H137" i="14"/>
  <c r="G137" i="14"/>
  <c r="Z40" i="9"/>
  <c r="F129" i="14" s="1"/>
  <c r="R40" i="9"/>
  <c r="F127" i="14" s="1"/>
  <c r="N40" i="9"/>
  <c r="F126" i="14" s="1"/>
  <c r="Y40" i="9"/>
  <c r="E129" i="14" s="1"/>
  <c r="U40" i="9"/>
  <c r="Q40" i="9"/>
  <c r="M40" i="9"/>
  <c r="E126" i="14" s="1"/>
  <c r="AC30" i="9"/>
  <c r="AE30" i="9" s="1"/>
  <c r="AA30" i="9"/>
  <c r="AA31" i="9"/>
  <c r="S30" i="9"/>
  <c r="S31" i="9"/>
  <c r="O30" i="9"/>
  <c r="O31" i="9"/>
  <c r="X21" i="9"/>
  <c r="U21" i="9"/>
  <c r="AA18" i="9"/>
  <c r="AA19" i="9"/>
  <c r="AA20" i="9"/>
  <c r="AA17" i="9"/>
  <c r="R21" i="9"/>
  <c r="X8" i="9"/>
  <c r="U8" i="9"/>
  <c r="AA6" i="9"/>
  <c r="AA7" i="9"/>
  <c r="R8" i="9"/>
  <c r="F158" i="14"/>
  <c r="F157" i="14"/>
  <c r="F156" i="14"/>
  <c r="G156" i="14" s="1"/>
  <c r="E158" i="14"/>
  <c r="E157" i="14"/>
  <c r="E156" i="14"/>
  <c r="F154" i="14"/>
  <c r="F153" i="14"/>
  <c r="F152" i="14"/>
  <c r="E154" i="14"/>
  <c r="E153" i="14"/>
  <c r="E152" i="14"/>
  <c r="D80" i="10"/>
  <c r="H80" i="10"/>
  <c r="L80" i="10"/>
  <c r="N77" i="10"/>
  <c r="N74" i="10"/>
  <c r="N71" i="10"/>
  <c r="F80" i="10"/>
  <c r="J80" i="10"/>
  <c r="M51" i="10"/>
  <c r="M50" i="10"/>
  <c r="J51" i="10"/>
  <c r="L51" i="10"/>
  <c r="J52" i="10"/>
  <c r="K52" i="10"/>
  <c r="L52" i="10"/>
  <c r="J53" i="10"/>
  <c r="K53" i="10"/>
  <c r="L53" i="10"/>
  <c r="J50" i="10"/>
  <c r="D54" i="10"/>
  <c r="G54" i="10"/>
  <c r="I37" i="10"/>
  <c r="I36" i="10"/>
  <c r="I32" i="10"/>
  <c r="F76" i="14"/>
  <c r="F166" i="14" s="1"/>
  <c r="D166" i="14" s="1"/>
  <c r="I11" i="10"/>
  <c r="E172" i="14"/>
  <c r="E171" i="14"/>
  <c r="E170" i="14"/>
  <c r="E76" i="14"/>
  <c r="F11" i="10"/>
  <c r="F29" i="10" s="1"/>
  <c r="F164" i="14"/>
  <c r="D164" i="14" s="1"/>
  <c r="E164" i="14"/>
  <c r="F165" i="14"/>
  <c r="D165" i="14" s="1"/>
  <c r="E165" i="14"/>
  <c r="F163" i="14"/>
  <c r="E163" i="14"/>
  <c r="C76" i="14"/>
  <c r="D76" i="14"/>
  <c r="N14" i="10"/>
  <c r="N15" i="10"/>
  <c r="N16" i="10"/>
  <c r="F17" i="10"/>
  <c r="L17" i="10" s="1"/>
  <c r="N20" i="10"/>
  <c r="N21" i="10"/>
  <c r="N22" i="10"/>
  <c r="N26" i="10"/>
  <c r="N27" i="10"/>
  <c r="N28" i="10"/>
  <c r="L14" i="10"/>
  <c r="L15" i="10"/>
  <c r="L16" i="10"/>
  <c r="L20" i="10"/>
  <c r="L21" i="10"/>
  <c r="L22" i="10"/>
  <c r="L26" i="10"/>
  <c r="L27" i="10"/>
  <c r="L28" i="10"/>
  <c r="D134" i="14"/>
  <c r="E146" i="14"/>
  <c r="C134" i="14"/>
  <c r="D135" i="14"/>
  <c r="E135" i="14"/>
  <c r="F135" i="14"/>
  <c r="C135" i="14"/>
  <c r="F134" i="14"/>
  <c r="E8" i="2"/>
  <c r="E34" i="14"/>
  <c r="E70" i="2"/>
  <c r="F34" i="14"/>
  <c r="F61" i="2"/>
  <c r="F70" i="2"/>
  <c r="D119" i="14"/>
  <c r="D120" i="14"/>
  <c r="D121" i="14"/>
  <c r="D122" i="14"/>
  <c r="D123" i="14"/>
  <c r="D124" i="14"/>
  <c r="E119" i="14"/>
  <c r="E120" i="14"/>
  <c r="E121" i="14"/>
  <c r="E122" i="14"/>
  <c r="E123" i="14"/>
  <c r="E124" i="14"/>
  <c r="F119" i="14"/>
  <c r="G119" i="14" s="1"/>
  <c r="F120" i="14"/>
  <c r="F121" i="14"/>
  <c r="F122" i="14"/>
  <c r="F123" i="14"/>
  <c r="F124" i="14"/>
  <c r="C120" i="14"/>
  <c r="C121" i="14"/>
  <c r="C122" i="14"/>
  <c r="C123" i="14"/>
  <c r="C124" i="14"/>
  <c r="C119" i="14"/>
  <c r="D110" i="14"/>
  <c r="E110" i="14"/>
  <c r="F110" i="14"/>
  <c r="D111" i="14"/>
  <c r="E111" i="14"/>
  <c r="F111" i="14"/>
  <c r="D115" i="14"/>
  <c r="E115" i="14"/>
  <c r="F115" i="14"/>
  <c r="C115" i="14"/>
  <c r="C111" i="14"/>
  <c r="C110" i="14"/>
  <c r="D78" i="14"/>
  <c r="E78" i="14"/>
  <c r="F78" i="14"/>
  <c r="C78" i="14"/>
  <c r="E114" i="2"/>
  <c r="E116" i="2"/>
  <c r="E112" i="2"/>
  <c r="F113" i="2"/>
  <c r="F115" i="2"/>
  <c r="F114" i="2"/>
  <c r="F116" i="2"/>
  <c r="F112" i="2"/>
  <c r="G7" i="3"/>
  <c r="G8" i="3"/>
  <c r="G9" i="3"/>
  <c r="H9" i="3"/>
  <c r="G10" i="3"/>
  <c r="G11" i="3"/>
  <c r="G12" i="3"/>
  <c r="E6" i="3"/>
  <c r="F6" i="3"/>
  <c r="G8" i="18"/>
  <c r="H8" i="18"/>
  <c r="G9" i="18"/>
  <c r="G10" i="18"/>
  <c r="G11" i="18"/>
  <c r="G18" i="18"/>
  <c r="G20" i="18"/>
  <c r="G21" i="18"/>
  <c r="G22" i="18"/>
  <c r="G23" i="18"/>
  <c r="H23" i="18"/>
  <c r="G26" i="18"/>
  <c r="H26" i="18"/>
  <c r="G29" i="18"/>
  <c r="G30" i="18"/>
  <c r="G31" i="18"/>
  <c r="G33" i="18"/>
  <c r="G34" i="18"/>
  <c r="H34" i="18"/>
  <c r="G35" i="18"/>
  <c r="G36" i="18"/>
  <c r="G37" i="18"/>
  <c r="H37" i="18"/>
  <c r="G65" i="18"/>
  <c r="G69" i="18"/>
  <c r="G71" i="18"/>
  <c r="G73" i="18"/>
  <c r="G75" i="18"/>
  <c r="G76" i="18"/>
  <c r="G77" i="18"/>
  <c r="G78" i="18"/>
  <c r="G91" i="18"/>
  <c r="H91" i="18"/>
  <c r="F19" i="18"/>
  <c r="F53" i="18"/>
  <c r="F74" i="18"/>
  <c r="F72" i="18" s="1"/>
  <c r="F81" i="18"/>
  <c r="F79" i="18" s="1"/>
  <c r="E19" i="18"/>
  <c r="E28" i="18"/>
  <c r="E32" i="18"/>
  <c r="E53" i="18"/>
  <c r="E74" i="18"/>
  <c r="E72" i="18" s="1"/>
  <c r="E81" i="18"/>
  <c r="E79" i="18" s="1"/>
  <c r="D113" i="14"/>
  <c r="D114" i="14"/>
  <c r="C113" i="14"/>
  <c r="D107" i="14"/>
  <c r="E107" i="14"/>
  <c r="F107" i="14"/>
  <c r="C107" i="14"/>
  <c r="D106" i="14"/>
  <c r="E106" i="14"/>
  <c r="F106" i="14"/>
  <c r="C106" i="14"/>
  <c r="D97" i="14"/>
  <c r="E97" i="14"/>
  <c r="F97" i="14"/>
  <c r="D98" i="14"/>
  <c r="E98" i="14"/>
  <c r="F98" i="14"/>
  <c r="D99" i="14"/>
  <c r="E99" i="14"/>
  <c r="F99" i="14"/>
  <c r="D100" i="14"/>
  <c r="E100" i="14"/>
  <c r="F100" i="14"/>
  <c r="D101" i="14"/>
  <c r="E101" i="14"/>
  <c r="F101" i="14"/>
  <c r="G101" i="14" s="1"/>
  <c r="D102" i="14"/>
  <c r="E102" i="14"/>
  <c r="F102" i="14"/>
  <c r="D103" i="14"/>
  <c r="E103" i="14"/>
  <c r="F103" i="14"/>
  <c r="C97" i="14"/>
  <c r="C98" i="14"/>
  <c r="C99" i="14"/>
  <c r="C100" i="14"/>
  <c r="C101" i="14"/>
  <c r="C102" i="14"/>
  <c r="C103" i="14"/>
  <c r="D91" i="14"/>
  <c r="E91" i="14"/>
  <c r="F91" i="14"/>
  <c r="D92" i="14"/>
  <c r="E92" i="14"/>
  <c r="F92" i="14"/>
  <c r="D93" i="14"/>
  <c r="E93" i="14"/>
  <c r="F93" i="14"/>
  <c r="C92" i="14"/>
  <c r="C93" i="14"/>
  <c r="C91" i="14"/>
  <c r="C87" i="14"/>
  <c r="D87" i="14"/>
  <c r="E87" i="14"/>
  <c r="F87" i="14"/>
  <c r="C88" i="14"/>
  <c r="D88" i="14"/>
  <c r="E88" i="14"/>
  <c r="F88" i="14"/>
  <c r="C89" i="14"/>
  <c r="D89" i="14"/>
  <c r="E89" i="14"/>
  <c r="F89" i="14"/>
  <c r="C85" i="14"/>
  <c r="C86" i="14"/>
  <c r="D85" i="14"/>
  <c r="D86" i="14"/>
  <c r="E85" i="14"/>
  <c r="E86" i="14"/>
  <c r="F85" i="14"/>
  <c r="F86" i="14"/>
  <c r="E83" i="14"/>
  <c r="C83" i="14"/>
  <c r="E41" i="19"/>
  <c r="F41" i="19"/>
  <c r="D105" i="14"/>
  <c r="E36" i="19"/>
  <c r="E105" i="14" s="1"/>
  <c r="F36" i="19"/>
  <c r="F105" i="14" s="1"/>
  <c r="C105" i="14"/>
  <c r="D104" i="14"/>
  <c r="E31" i="19"/>
  <c r="E104" i="14" s="1"/>
  <c r="F31" i="19"/>
  <c r="C104" i="14"/>
  <c r="D96" i="14"/>
  <c r="E21" i="19"/>
  <c r="E96" i="14" s="1"/>
  <c r="F21" i="19"/>
  <c r="C96" i="14"/>
  <c r="H23" i="19"/>
  <c r="H30" i="19"/>
  <c r="H32" i="19"/>
  <c r="H33" i="19"/>
  <c r="H39" i="19"/>
  <c r="H8" i="19"/>
  <c r="E9" i="19"/>
  <c r="F9" i="19"/>
  <c r="D73" i="14"/>
  <c r="E73" i="14"/>
  <c r="F73" i="14"/>
  <c r="D74" i="14"/>
  <c r="E74" i="14"/>
  <c r="F74" i="14"/>
  <c r="D75" i="14"/>
  <c r="E75" i="14"/>
  <c r="F75" i="14"/>
  <c r="D77" i="14"/>
  <c r="E77" i="14"/>
  <c r="F77" i="14"/>
  <c r="D79" i="14"/>
  <c r="E79" i="14"/>
  <c r="F79" i="14"/>
  <c r="C74" i="14"/>
  <c r="C75" i="14"/>
  <c r="C77" i="14"/>
  <c r="C79" i="14"/>
  <c r="C73" i="14"/>
  <c r="D67" i="14"/>
  <c r="D68" i="14"/>
  <c r="C68" i="14"/>
  <c r="D60" i="14"/>
  <c r="E60" i="14"/>
  <c r="F60" i="14"/>
  <c r="C60" i="14"/>
  <c r="C58" i="14"/>
  <c r="D58" i="14"/>
  <c r="E58" i="14"/>
  <c r="F58" i="14"/>
  <c r="D56" i="14"/>
  <c r="E56" i="14"/>
  <c r="F56" i="14"/>
  <c r="C56" i="14"/>
  <c r="D55" i="14"/>
  <c r="E55" i="14"/>
  <c r="F55" i="14"/>
  <c r="C55" i="14"/>
  <c r="D54" i="14"/>
  <c r="E54" i="14"/>
  <c r="F54" i="14"/>
  <c r="C54" i="14"/>
  <c r="D53" i="14"/>
  <c r="E53" i="14"/>
  <c r="F53" i="14"/>
  <c r="C53" i="14"/>
  <c r="C48" i="14"/>
  <c r="D48" i="14"/>
  <c r="E48" i="14"/>
  <c r="F48" i="14"/>
  <c r="C49" i="14"/>
  <c r="D49" i="14"/>
  <c r="E49" i="14"/>
  <c r="F49" i="14"/>
  <c r="C45" i="14"/>
  <c r="D45" i="14"/>
  <c r="E45" i="14"/>
  <c r="F45" i="14"/>
  <c r="C46" i="14"/>
  <c r="D46" i="14"/>
  <c r="E46" i="14"/>
  <c r="F46" i="14"/>
  <c r="G62" i="14"/>
  <c r="G63" i="14"/>
  <c r="G64" i="14"/>
  <c r="G65" i="14"/>
  <c r="C38" i="14"/>
  <c r="D38" i="14"/>
  <c r="E38" i="14"/>
  <c r="F38" i="14"/>
  <c r="C39" i="14"/>
  <c r="D39" i="14"/>
  <c r="E39" i="14"/>
  <c r="F39" i="14"/>
  <c r="C40" i="14"/>
  <c r="D40" i="14"/>
  <c r="E40" i="14"/>
  <c r="F40" i="14"/>
  <c r="C41" i="14"/>
  <c r="D41" i="14"/>
  <c r="E41" i="14"/>
  <c r="F41" i="14"/>
  <c r="C42" i="14"/>
  <c r="D42" i="14"/>
  <c r="E42" i="14"/>
  <c r="F42" i="14"/>
  <c r="D34" i="14"/>
  <c r="C34" i="14"/>
  <c r="E115" i="2"/>
  <c r="E113" i="2"/>
  <c r="G113" i="2" s="1"/>
  <c r="G71" i="2"/>
  <c r="G72" i="2"/>
  <c r="G73" i="2"/>
  <c r="G74" i="2"/>
  <c r="G75" i="2"/>
  <c r="G76" i="2"/>
  <c r="G63" i="2"/>
  <c r="G64" i="2"/>
  <c r="G62" i="2"/>
  <c r="G57" i="2"/>
  <c r="H120" i="2"/>
  <c r="H121" i="2"/>
  <c r="H122" i="2"/>
  <c r="H123" i="2"/>
  <c r="H124" i="2"/>
  <c r="H125" i="2"/>
  <c r="E126" i="2"/>
  <c r="F126" i="2"/>
  <c r="H119" i="2"/>
  <c r="F53" i="2"/>
  <c r="E53" i="2"/>
  <c r="E43" i="14" s="1"/>
  <c r="H9" i="2"/>
  <c r="H10" i="2"/>
  <c r="H11" i="2"/>
  <c r="H12" i="2"/>
  <c r="H13" i="2"/>
  <c r="H14" i="2"/>
  <c r="H15" i="2"/>
  <c r="H16" i="2"/>
  <c r="H25" i="2"/>
  <c r="H31" i="2"/>
  <c r="H32" i="2"/>
  <c r="H33" i="2"/>
  <c r="H34" i="2"/>
  <c r="H38" i="2"/>
  <c r="H43" i="2"/>
  <c r="H46" i="2"/>
  <c r="H64" i="2"/>
  <c r="H76" i="2"/>
  <c r="H93" i="2"/>
  <c r="H7" i="2"/>
  <c r="D155" i="14"/>
  <c r="C155" i="14"/>
  <c r="D151" i="14"/>
  <c r="C151" i="14"/>
  <c r="D43" i="14"/>
  <c r="C43" i="14"/>
  <c r="D59" i="14"/>
  <c r="E96" i="2"/>
  <c r="E59" i="14" s="1"/>
  <c r="F96" i="2"/>
  <c r="F59" i="14" s="1"/>
  <c r="C59" i="14"/>
  <c r="D57" i="14"/>
  <c r="E91" i="2"/>
  <c r="E57" i="14" s="1"/>
  <c r="F91" i="2"/>
  <c r="C57" i="14"/>
  <c r="C47" i="14"/>
  <c r="D44" i="14"/>
  <c r="E61" i="2"/>
  <c r="C44" i="14"/>
  <c r="G125" i="2"/>
  <c r="G124" i="2"/>
  <c r="G123" i="2"/>
  <c r="G122" i="2"/>
  <c r="G121" i="2"/>
  <c r="G120" i="2"/>
  <c r="G119" i="2"/>
  <c r="G88" i="2"/>
  <c r="G152" i="14"/>
  <c r="G106" i="14"/>
  <c r="D35" i="14"/>
  <c r="D37" i="14"/>
  <c r="E24" i="2"/>
  <c r="E37" i="14" s="1"/>
  <c r="F24" i="2"/>
  <c r="C37" i="14"/>
  <c r="K64" i="10"/>
  <c r="G8" i="19"/>
  <c r="G43" i="19"/>
  <c r="G39" i="19"/>
  <c r="G38" i="19"/>
  <c r="G37" i="19"/>
  <c r="G35" i="19"/>
  <c r="G30" i="19"/>
  <c r="G23" i="19"/>
  <c r="G22" i="19"/>
  <c r="G116" i="2"/>
  <c r="G114" i="2"/>
  <c r="G98" i="2"/>
  <c r="G92" i="2"/>
  <c r="G90" i="2"/>
  <c r="G89" i="2"/>
  <c r="G87" i="2"/>
  <c r="G60" i="2"/>
  <c r="G59" i="2"/>
  <c r="G58" i="2"/>
  <c r="G56" i="2"/>
  <c r="G55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16" i="2"/>
  <c r="G15" i="2"/>
  <c r="G14" i="2"/>
  <c r="G13" i="2"/>
  <c r="G12" i="2"/>
  <c r="G11" i="2"/>
  <c r="G10" i="2"/>
  <c r="G9" i="2"/>
  <c r="G7" i="2"/>
  <c r="H138" i="14"/>
  <c r="D108" i="14"/>
  <c r="F44" i="14" l="1"/>
  <c r="F61" i="14"/>
  <c r="F66" i="14" s="1"/>
  <c r="F67" i="14" s="1"/>
  <c r="N80" i="10"/>
  <c r="G19" i="18"/>
  <c r="H112" i="2"/>
  <c r="G103" i="14"/>
  <c r="E149" i="14"/>
  <c r="E134" i="14" s="1"/>
  <c r="D24" i="18"/>
  <c r="D90" i="18" s="1"/>
  <c r="D93" i="18" s="1"/>
  <c r="F107" i="2"/>
  <c r="G112" i="2"/>
  <c r="E99" i="2"/>
  <c r="E61" i="14" s="1"/>
  <c r="E66" i="14" s="1"/>
  <c r="M54" i="10"/>
  <c r="L36" i="10"/>
  <c r="H83" i="14"/>
  <c r="G70" i="2"/>
  <c r="E80" i="14"/>
  <c r="H98" i="14"/>
  <c r="G91" i="2"/>
  <c r="G102" i="14"/>
  <c r="G53" i="18"/>
  <c r="E23" i="2"/>
  <c r="E86" i="2" s="1"/>
  <c r="E111" i="2" s="1"/>
  <c r="E133" i="2"/>
  <c r="G111" i="14"/>
  <c r="G100" i="14"/>
  <c r="E70" i="18"/>
  <c r="F133" i="2"/>
  <c r="G133" i="2" s="1"/>
  <c r="D160" i="14"/>
  <c r="N57" i="9"/>
  <c r="F70" i="18"/>
  <c r="F113" i="14" s="1"/>
  <c r="H36" i="19"/>
  <c r="G164" i="14"/>
  <c r="L11" i="10"/>
  <c r="N17" i="10"/>
  <c r="AA8" i="9"/>
  <c r="D36" i="14"/>
  <c r="E7" i="11" s="1"/>
  <c r="H135" i="14"/>
  <c r="F57" i="14"/>
  <c r="H57" i="14" s="1"/>
  <c r="H91" i="2"/>
  <c r="N32" i="10"/>
  <c r="E167" i="14"/>
  <c r="N11" i="10"/>
  <c r="G124" i="14"/>
  <c r="G122" i="14"/>
  <c r="G6" i="3"/>
  <c r="H126" i="2"/>
  <c r="G96" i="2"/>
  <c r="F47" i="14"/>
  <c r="F86" i="2"/>
  <c r="F111" i="2" s="1"/>
  <c r="D47" i="14"/>
  <c r="D70" i="14" s="1"/>
  <c r="G53" i="2"/>
  <c r="H24" i="2"/>
  <c r="H8" i="2"/>
  <c r="X40" i="9"/>
  <c r="E128" i="14"/>
  <c r="E127" i="14"/>
  <c r="G127" i="14" s="1"/>
  <c r="O40" i="9"/>
  <c r="G45" i="14"/>
  <c r="G48" i="14"/>
  <c r="G53" i="14"/>
  <c r="G55" i="14"/>
  <c r="G58" i="14"/>
  <c r="G79" i="14"/>
  <c r="G77" i="14"/>
  <c r="G73" i="14"/>
  <c r="G75" i="14"/>
  <c r="H73" i="14"/>
  <c r="H77" i="14"/>
  <c r="C80" i="14"/>
  <c r="E166" i="14"/>
  <c r="H166" i="14" s="1"/>
  <c r="D69" i="14"/>
  <c r="C69" i="14"/>
  <c r="C35" i="14"/>
  <c r="C36" i="14" s="1"/>
  <c r="C50" i="14" s="1"/>
  <c r="G98" i="14"/>
  <c r="H110" i="14"/>
  <c r="H165" i="14"/>
  <c r="G38" i="14"/>
  <c r="G105" i="14"/>
  <c r="G83" i="14"/>
  <c r="E118" i="14"/>
  <c r="G46" i="14"/>
  <c r="G42" i="14"/>
  <c r="G72" i="18"/>
  <c r="E160" i="14"/>
  <c r="H164" i="14"/>
  <c r="H79" i="14"/>
  <c r="E155" i="14"/>
  <c r="H38" i="14"/>
  <c r="H6" i="3"/>
  <c r="G59" i="14"/>
  <c r="E44" i="19"/>
  <c r="E108" i="14" s="1"/>
  <c r="G79" i="18"/>
  <c r="C51" i="14"/>
  <c r="G110" i="14"/>
  <c r="G126" i="2"/>
  <c r="H75" i="14"/>
  <c r="G40" i="14"/>
  <c r="G39" i="14"/>
  <c r="G163" i="14"/>
  <c r="AA21" i="9"/>
  <c r="H121" i="14"/>
  <c r="C160" i="14"/>
  <c r="G41" i="14"/>
  <c r="H163" i="14"/>
  <c r="G165" i="14"/>
  <c r="F43" i="14"/>
  <c r="G28" i="18"/>
  <c r="F118" i="14"/>
  <c r="G120" i="14"/>
  <c r="F35" i="14"/>
  <c r="F36" i="14" s="1"/>
  <c r="G7" i="11" s="1"/>
  <c r="F108" i="2"/>
  <c r="G146" i="14"/>
  <c r="H146" i="14"/>
  <c r="F170" i="14"/>
  <c r="D170" i="14" s="1"/>
  <c r="L32" i="10"/>
  <c r="F172" i="14"/>
  <c r="D172" i="14" s="1"/>
  <c r="L37" i="10"/>
  <c r="F151" i="14"/>
  <c r="G153" i="14"/>
  <c r="F155" i="14"/>
  <c r="G157" i="14"/>
  <c r="AC40" i="9"/>
  <c r="G129" i="14"/>
  <c r="G24" i="2"/>
  <c r="F37" i="14"/>
  <c r="E44" i="14"/>
  <c r="E69" i="14" s="1"/>
  <c r="G61" i="2"/>
  <c r="H61" i="2"/>
  <c r="E107" i="2"/>
  <c r="G49" i="14"/>
  <c r="G54" i="14"/>
  <c r="G56" i="14"/>
  <c r="G60" i="14"/>
  <c r="G74" i="14"/>
  <c r="H74" i="14"/>
  <c r="F96" i="14"/>
  <c r="G21" i="19"/>
  <c r="F44" i="19"/>
  <c r="F104" i="14"/>
  <c r="H31" i="19"/>
  <c r="G97" i="14"/>
  <c r="H107" i="14"/>
  <c r="G107" i="14"/>
  <c r="G74" i="18"/>
  <c r="G61" i="18"/>
  <c r="H61" i="18"/>
  <c r="H38" i="18"/>
  <c r="F32" i="18"/>
  <c r="G78" i="14"/>
  <c r="H78" i="14"/>
  <c r="G115" i="14"/>
  <c r="E47" i="14"/>
  <c r="H70" i="2"/>
  <c r="E35" i="14"/>
  <c r="E36" i="14" s="1"/>
  <c r="E108" i="2"/>
  <c r="G76" i="14"/>
  <c r="H76" i="14"/>
  <c r="F171" i="14"/>
  <c r="D171" i="14" s="1"/>
  <c r="N36" i="10"/>
  <c r="E24" i="18"/>
  <c r="F160" i="14"/>
  <c r="F89" i="18"/>
  <c r="C108" i="14"/>
  <c r="G31" i="19"/>
  <c r="G36" i="19"/>
  <c r="G8" i="2"/>
  <c r="G121" i="14"/>
  <c r="G126" i="14"/>
  <c r="G135" i="14"/>
  <c r="G154" i="14"/>
  <c r="G158" i="14"/>
  <c r="H34" i="14"/>
  <c r="E151" i="14"/>
  <c r="F80" i="14"/>
  <c r="D80" i="14"/>
  <c r="H21" i="19"/>
  <c r="H105" i="14"/>
  <c r="C114" i="14"/>
  <c r="E89" i="18"/>
  <c r="E114" i="14" s="1"/>
  <c r="C118" i="14"/>
  <c r="C125" i="14" s="1"/>
  <c r="D118" i="14"/>
  <c r="D128" i="14" s="1"/>
  <c r="D125" i="14" s="1"/>
  <c r="G34" i="14"/>
  <c r="G138" i="14"/>
  <c r="N37" i="10"/>
  <c r="S40" i="9"/>
  <c r="AA40" i="9"/>
  <c r="E134" i="2" l="1"/>
  <c r="E135" i="2" s="1"/>
  <c r="E138" i="2" s="1"/>
  <c r="E7" i="19"/>
  <c r="E84" i="14"/>
  <c r="E94" i="14" s="1"/>
  <c r="F84" i="14"/>
  <c r="F7" i="19"/>
  <c r="F134" i="2"/>
  <c r="F135" i="2" s="1"/>
  <c r="F138" i="2" s="1"/>
  <c r="E51" i="18"/>
  <c r="E112" i="14" s="1"/>
  <c r="E90" i="18"/>
  <c r="E93" i="18" s="1"/>
  <c r="G11" i="11"/>
  <c r="G9" i="11"/>
  <c r="G10" i="11"/>
  <c r="F128" i="14"/>
  <c r="F125" i="14" s="1"/>
  <c r="G44" i="14"/>
  <c r="D51" i="18"/>
  <c r="D112" i="14" s="1"/>
  <c r="D116" i="14" s="1"/>
  <c r="H134" i="14"/>
  <c r="G134" i="14"/>
  <c r="F104" i="2"/>
  <c r="F105" i="2" s="1"/>
  <c r="E104" i="2"/>
  <c r="E19" i="19" s="1"/>
  <c r="E17" i="11"/>
  <c r="E18" i="11"/>
  <c r="D50" i="14"/>
  <c r="G70" i="18"/>
  <c r="E50" i="14"/>
  <c r="H25" i="18"/>
  <c r="G25" i="18"/>
  <c r="H47" i="14"/>
  <c r="F50" i="14"/>
  <c r="E125" i="14"/>
  <c r="G57" i="14"/>
  <c r="F69" i="14"/>
  <c r="G69" i="14" s="1"/>
  <c r="E113" i="14"/>
  <c r="H70" i="18"/>
  <c r="G47" i="14"/>
  <c r="E70" i="14"/>
  <c r="G166" i="14"/>
  <c r="C70" i="14"/>
  <c r="C84" i="14" s="1"/>
  <c r="E117" i="2"/>
  <c r="E51" i="14" s="1"/>
  <c r="E52" i="14" s="1"/>
  <c r="C112" i="14"/>
  <c r="C116" i="14" s="1"/>
  <c r="D51" i="14"/>
  <c r="G160" i="14"/>
  <c r="H160" i="14"/>
  <c r="I29" i="10"/>
  <c r="L23" i="10"/>
  <c r="N23" i="10"/>
  <c r="H7" i="18"/>
  <c r="G7" i="18"/>
  <c r="H44" i="19"/>
  <c r="F108" i="14"/>
  <c r="G44" i="19"/>
  <c r="G96" i="14"/>
  <c r="H96" i="14"/>
  <c r="Y41" i="9"/>
  <c r="Q41" i="9"/>
  <c r="U41" i="9"/>
  <c r="M41" i="9"/>
  <c r="G155" i="14"/>
  <c r="G151" i="14"/>
  <c r="H172" i="14"/>
  <c r="G172" i="14"/>
  <c r="H170" i="14"/>
  <c r="G170" i="14"/>
  <c r="H35" i="14"/>
  <c r="G35" i="14"/>
  <c r="F70" i="14"/>
  <c r="H118" i="14"/>
  <c r="G118" i="14"/>
  <c r="G43" i="14"/>
  <c r="C52" i="14"/>
  <c r="H23" i="2"/>
  <c r="G23" i="2"/>
  <c r="G80" i="14"/>
  <c r="H80" i="14"/>
  <c r="F114" i="14"/>
  <c r="H171" i="14"/>
  <c r="G171" i="14"/>
  <c r="G32" i="18"/>
  <c r="H32" i="18"/>
  <c r="G104" i="14"/>
  <c r="H104" i="14"/>
  <c r="H107" i="2"/>
  <c r="G107" i="2"/>
  <c r="H37" i="14"/>
  <c r="G37" i="14"/>
  <c r="AF40" i="9"/>
  <c r="R41" i="9"/>
  <c r="N41" i="9"/>
  <c r="Z41" i="9"/>
  <c r="V41" i="9"/>
  <c r="H108" i="2"/>
  <c r="G108" i="2"/>
  <c r="H44" i="14"/>
  <c r="AE40" i="9"/>
  <c r="F24" i="18"/>
  <c r="G7" i="19" l="1"/>
  <c r="C94" i="14"/>
  <c r="F90" i="18"/>
  <c r="F93" i="18" s="1"/>
  <c r="G128" i="14"/>
  <c r="H128" i="14"/>
  <c r="G125" i="14"/>
  <c r="E68" i="14"/>
  <c r="E105" i="2"/>
  <c r="E11" i="11"/>
  <c r="E9" i="11"/>
  <c r="E10" i="11"/>
  <c r="D52" i="14"/>
  <c r="E13" i="11"/>
  <c r="E8" i="11"/>
  <c r="F51" i="18"/>
  <c r="H108" i="14"/>
  <c r="G108" i="14"/>
  <c r="H125" i="14"/>
  <c r="H69" i="14"/>
  <c r="AC41" i="9"/>
  <c r="E116" i="14"/>
  <c r="E142" i="14" s="1"/>
  <c r="G113" i="14"/>
  <c r="C132" i="14"/>
  <c r="C131" i="14"/>
  <c r="C133" i="14"/>
  <c r="AD41" i="9"/>
  <c r="D133" i="14"/>
  <c r="D131" i="14"/>
  <c r="D132" i="14"/>
  <c r="H24" i="18"/>
  <c r="G24" i="18"/>
  <c r="H70" i="14"/>
  <c r="G70" i="14"/>
  <c r="F167" i="14"/>
  <c r="D167" i="14" s="1"/>
  <c r="L29" i="10"/>
  <c r="N29" i="10"/>
  <c r="G114" i="14"/>
  <c r="G86" i="2"/>
  <c r="H86" i="2"/>
  <c r="H36" i="14"/>
  <c r="G36" i="14"/>
  <c r="E133" i="14"/>
  <c r="E132" i="14"/>
  <c r="E131" i="14"/>
  <c r="E67" i="14" l="1"/>
  <c r="G105" i="2"/>
  <c r="H105" i="2"/>
  <c r="F112" i="14"/>
  <c r="G51" i="18"/>
  <c r="H51" i="18"/>
  <c r="G99" i="2"/>
  <c r="H99" i="2"/>
  <c r="H111" i="2"/>
  <c r="G111" i="2"/>
  <c r="F117" i="2"/>
  <c r="F51" i="14" s="1"/>
  <c r="G167" i="14"/>
  <c r="H167" i="14"/>
  <c r="H50" i="14"/>
  <c r="G50" i="14"/>
  <c r="H67" i="14" l="1"/>
  <c r="G67" i="14"/>
  <c r="F52" i="14"/>
  <c r="G8" i="11"/>
  <c r="G13" i="11"/>
  <c r="G112" i="14"/>
  <c r="H112" i="14"/>
  <c r="F116" i="14"/>
  <c r="F142" i="14" s="1"/>
  <c r="D142" i="14" s="1"/>
  <c r="G61" i="14"/>
  <c r="H61" i="14"/>
  <c r="H117" i="2"/>
  <c r="G117" i="2"/>
  <c r="H104" i="2"/>
  <c r="G104" i="2"/>
  <c r="H90" i="18"/>
  <c r="G90" i="18"/>
  <c r="G142" i="14" l="1"/>
  <c r="H142" i="14"/>
  <c r="H93" i="18"/>
  <c r="G93" i="18"/>
  <c r="H51" i="14"/>
  <c r="G51" i="14"/>
  <c r="H116" i="14"/>
  <c r="G116" i="14"/>
  <c r="G19" i="19"/>
  <c r="H19" i="19"/>
  <c r="H66" i="14"/>
  <c r="F131" i="14"/>
  <c r="G66" i="14"/>
  <c r="F132" i="14"/>
  <c r="F133" i="14"/>
  <c r="H52" i="14" l="1"/>
  <c r="G52" i="14"/>
  <c r="G94" i="14"/>
  <c r="H94" i="14"/>
  <c r="H133" i="14"/>
  <c r="G133" i="14"/>
  <c r="G132" i="14"/>
  <c r="H132" i="14"/>
  <c r="G131" i="14"/>
  <c r="H131" i="14"/>
</calcChain>
</file>

<file path=xl/sharedStrings.xml><?xml version="1.0" encoding="utf-8"?>
<sst xmlns="http://schemas.openxmlformats.org/spreadsheetml/2006/main" count="944" uniqueCount="584">
  <si>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</si>
  <si>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</si>
  <si>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</si>
  <si>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</si>
  <si>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</si>
  <si>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</si>
  <si>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</si>
  <si>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</si>
  <si>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</si>
  <si>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</si>
  <si>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</si>
  <si>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</si>
  <si>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</si>
  <si>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</si>
  <si>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</si>
  <si>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</si>
  <si>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</si>
  <si>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</si>
  <si>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</si>
  <si>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</si>
  <si>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</si>
  <si>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</si>
  <si>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</si>
  <si>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</si>
  <si>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</si>
  <si>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</si>
  <si>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</si>
  <si>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</si>
  <si>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</si>
  <si>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</si>
  <si>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</si>
  <si>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</si>
  <si>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</si>
  <si>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</si>
  <si>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</si>
  <si>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</si>
  <si>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</si>
  <si>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</si>
  <si>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</si>
  <si>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</si>
  <si>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</si>
  <si>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</si>
  <si>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</si>
  <si>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</si>
  <si>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</si>
  <si>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</si>
  <si>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</si>
  <si>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</si>
  <si>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</si>
  <si>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</si>
  <si>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</si>
  <si>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</si>
  <si>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</si>
  <si>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</si>
  <si>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</si>
  <si>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</si>
  <si>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</si>
  <si>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</si>
  <si>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</si>
  <si>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</si>
  <si>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</si>
  <si>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</si>
  <si>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</si>
  <si>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</si>
  <si>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</si>
  <si>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</si>
  <si>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</si>
  <si>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</si>
  <si>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</si>
  <si>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</si>
  <si>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</si>
  <si>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</si>
  <si>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</si>
  <si>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</si>
  <si>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</si>
  <si>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</si>
  <si>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</si>
  <si>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</si>
  <si>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</si>
  <si>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</si>
  <si>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</si>
  <si>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</si>
  <si>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</si>
  <si>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</si>
  <si>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</si>
  <si>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</si>
  <si>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</si>
  <si>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</si>
  <si>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</si>
  <si>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</si>
  <si>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</si>
  <si>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</si>
  <si>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</si>
  <si>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</si>
  <si>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</si>
  <si>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</si>
  <si>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</si>
  <si>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</si>
  <si>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</si>
  <si>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</si>
  <si>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</si>
  <si>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</si>
  <si>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</si>
  <si>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</si>
  <si>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</si>
  <si>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</si>
  <si>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</si>
  <si>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</si>
  <si>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</si>
  <si>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</si>
  <si>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</si>
  <si>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</si>
  <si>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</si>
  <si>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</si>
  <si>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</si>
  <si>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</si>
  <si>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</si>
  <si>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</si>
  <si>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</si>
  <si>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</si>
  <si>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</si>
  <si>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</si>
  <si>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</si>
  <si>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</si>
  <si>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</si>
  <si>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</si>
  <si>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</si>
  <si>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</si>
  <si>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</si>
  <si>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</si>
  <si>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</si>
  <si>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</si>
  <si>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</si>
  <si>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</si>
  <si>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</si>
  <si>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</si>
  <si>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</si>
  <si>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</si>
  <si>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</si>
  <si>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</si>
  <si>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</si>
  <si>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</si>
  <si>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</si>
  <si>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</si>
  <si>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</si>
  <si>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</si>
  <si>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</si>
  <si>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</si>
  <si>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</si>
  <si>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</si>
  <si>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</si>
  <si>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</si>
  <si>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</si>
  <si>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</si>
  <si>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</si>
  <si>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</si>
  <si>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</si>
  <si>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Факт</t>
  </si>
  <si>
    <t>Додаток 3</t>
  </si>
  <si>
    <t>ЗВІТ</t>
  </si>
  <si>
    <t xml:space="preserve">ПРО ВИКОНАННЯ ФІНАНСОВОГО ПЛАНУ ПІДПРИЄМСТВА </t>
  </si>
  <si>
    <t>(квартал, рік)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</si>
  <si>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</si>
  <si>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</si>
  <si>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</si>
  <si>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</si>
  <si>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</si>
  <si>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</si>
  <si>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</si>
  <si>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</si>
  <si>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</si>
  <si>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</si>
  <si>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</si>
  <si>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</si>
  <si>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</si>
  <si>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 xml:space="preserve">          </t>
  </si>
  <si>
    <t>Коди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</si>
  <si>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</si>
  <si>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</si>
  <si>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</si>
  <si>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</si>
  <si>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</si>
  <si>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</si>
  <si>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</si>
  <si>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</si>
  <si>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</si>
  <si>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</si>
  <si>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</si>
  <si>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</si>
  <si>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</si>
  <si>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</si>
  <si>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</si>
  <si>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</si>
  <si>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</si>
  <si>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</si>
  <si>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</si>
  <si>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</si>
  <si>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</si>
  <si>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</si>
  <si>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</si>
  <si>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</si>
  <si>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</si>
  <si>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</si>
  <si>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</si>
  <si>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</si>
  <si>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</si>
  <si>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</si>
  <si>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</si>
  <si>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</si>
  <si>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</si>
  <si>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</si>
  <si>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             (підпис)</t>
  </si>
  <si>
    <t xml:space="preserve">                                         (посада)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</si>
  <si>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</si>
  <si>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</si>
  <si>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</si>
  <si>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</si>
  <si>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</si>
  <si>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(пункт 11)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</si>
  <si>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</si>
  <si>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</si>
  <si>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</si>
  <si>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</si>
  <si>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</si>
  <si>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</si>
  <si>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</si>
  <si>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</si>
  <si>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</si>
  <si>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</si>
  <si>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</si>
  <si>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</si>
  <si>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</si>
  <si>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</si>
  <si>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</si>
  <si>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</si>
  <si>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</si>
  <si>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</si>
  <si>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</si>
  <si>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</si>
  <si>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</si>
  <si>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</si>
  <si>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</si>
  <si>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</si>
  <si>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</si>
  <si>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</si>
  <si>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Середньомісячні витрати на оплату праці одного працівника (гривень),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</si>
  <si>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</si>
  <si>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</si>
  <si>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</si>
  <si>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</si>
  <si>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</si>
  <si>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</si>
  <si>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</si>
  <si>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</si>
  <si>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</si>
  <si>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</si>
  <si>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</si>
  <si>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 xml:space="preserve">Надходження грошових коштів від операційної діяльності </t>
  </si>
  <si>
    <t>Надходження авансів від покупців і замовників</t>
  </si>
  <si>
    <t xml:space="preserve">Надходження грошових коштів від інвестиційної діяльності 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</si>
  <si>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</si>
  <si>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</si>
  <si>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</si>
  <si>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</si>
  <si>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</si>
  <si>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</si>
  <si>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Повернення коштів до бюджету</t>
  </si>
  <si>
    <t xml:space="preserve">Сплата дивідендів </t>
  </si>
  <si>
    <t>Отримання коштів за довгостроковими зобов'язаннями, у тому числі:</t>
  </si>
  <si>
    <t>інші обов’язкові платежі, у тому числі:</t>
  </si>
  <si>
    <t>Повернення коштів за довгостроковими зобов'язаннями, у тому числі:</t>
  </si>
  <si>
    <t>Видатки грошових коштів від операційної діяльності</t>
  </si>
  <si>
    <t xml:space="preserve">Видатки грошових коштів від фінансової діяльності </t>
  </si>
  <si>
    <t>Найменування видів діяльності за КВЕД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</si>
  <si>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</si>
  <si>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</si>
  <si>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</si>
  <si>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</si>
  <si>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</si>
  <si>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Зобов’язання з податків, зборів та інших обов’язкових платежів, у тому числі: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</si>
  <si>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</si>
  <si>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</si>
  <si>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</si>
  <si>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</si>
  <si>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</si>
  <si>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</si>
  <si>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</si>
  <si>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</si>
  <si>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</si>
  <si>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</si>
  <si>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</si>
  <si>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</si>
  <si>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</si>
  <si>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</si>
  <si>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</si>
  <si>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</si>
  <si>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</si>
  <si>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</si>
  <si>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</si>
  <si>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</si>
  <si>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</si>
  <si>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</si>
  <si>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</si>
  <si>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</si>
  <si>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</si>
  <si>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</si>
  <si>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</si>
  <si>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</si>
  <si>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</si>
  <si>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</si>
  <si>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</si>
  <si>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</si>
  <si>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</si>
  <si>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</si>
  <si>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</si>
  <si>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1050/1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</si>
  <si>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</si>
  <si>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</si>
  <si>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</si>
  <si>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</si>
  <si>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</si>
  <si>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</si>
  <si>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</si>
  <si>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</si>
  <si>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</si>
  <si>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</si>
  <si>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</si>
  <si>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</si>
  <si>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</si>
  <si>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</si>
  <si>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</si>
  <si>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</si>
  <si>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</si>
  <si>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</si>
  <si>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</si>
  <si>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</si>
  <si>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</si>
  <si>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</si>
  <si>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r>
      <t xml:space="preserve">Відхилення,  +/–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</si>
  <si>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</si>
  <si>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t>Факт
відповідного періоду минулого року</t>
  </si>
  <si>
    <t>План
звітного періоду</t>
  </si>
  <si>
    <t>Факт
звітного періоду</t>
  </si>
  <si>
    <t>Дата
початку
оренди</t>
  </si>
  <si>
    <t>факт
відповідного періоду
минулого року</t>
  </si>
  <si>
    <t>план
звітного періоду</t>
  </si>
  <si>
    <t>факт
звітного періоду</t>
  </si>
  <si>
    <t>Документ, яким затверджений титул будови,
із зазначенням органу, який його погодив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</si>
  <si>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  <charset val="204"/>
      </rPr>
      <t>,
у тому числі:</t>
    </r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</si>
  <si>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</si>
  <si>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</si>
  <si>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</si>
  <si>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</si>
  <si>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</si>
  <si>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</si>
  <si>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</si>
  <si>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</si>
  <si>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</si>
  <si>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</si>
  <si>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</si>
  <si>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</si>
  <si>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</si>
  <si>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</si>
  <si>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</si>
  <si>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</si>
  <si>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</si>
  <si>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</si>
  <si>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</si>
  <si>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</si>
  <si>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</si>
  <si>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</si>
  <si>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Звітний період (квартал, рік)</t>
  </si>
  <si>
    <t>нетипові операційні витрати (розшифрувати)</t>
  </si>
  <si>
    <t>Коефіцієнт відношення боргу до EBITDA
(довгострокові зобов'язання, рядок 6030 + поточні зобов'язання, рядок 6040) / EBITDA, рядок 1310</t>
  </si>
  <si>
    <t>Одиниця виміру, тис. грн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</si>
  <si>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</si>
  <si>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рентна плата за користування надрами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</si>
  <si>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</si>
  <si>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</si>
  <si>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</si>
  <si>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</si>
  <si>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</si>
  <si>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</si>
  <si>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</si>
  <si>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</si>
  <si>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</si>
  <si>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</si>
  <si>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</si>
  <si>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</si>
  <si>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</si>
  <si>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</si>
  <si>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</si>
  <si>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Цільове фінансування 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</si>
  <si>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</si>
  <si>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</si>
  <si>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</si>
  <si>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</si>
  <si>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</si>
  <si>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</si>
  <si>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</si>
  <si>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</si>
  <si>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</si>
  <si>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</si>
  <si>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</si>
  <si>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</si>
  <si>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</si>
  <si>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</si>
  <si>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</si>
  <si>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</si>
  <si>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</si>
  <si>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</si>
  <si>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</si>
  <si>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</si>
  <si>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</si>
  <si>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</si>
  <si>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</si>
  <si>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</si>
  <si>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{Додаток 3 в редакції Наказу Міністерства економічного розвитку і торгівлі № 1394 від 03.11.2015}</t>
  </si>
  <si>
    <t>КП "Деснянське" Чернігівської міської ради</t>
  </si>
  <si>
    <t>комунальне підприємство</t>
  </si>
  <si>
    <t>Чернігівська область</t>
  </si>
  <si>
    <t>Управління ЖКГ Чернігівської міської ради</t>
  </si>
  <si>
    <t>житлово-комунальне господарство</t>
  </si>
  <si>
    <t>комплексне обслуговування об'єктів</t>
  </si>
  <si>
    <t>81.10</t>
  </si>
  <si>
    <t>тис.грн</t>
  </si>
  <si>
    <t>комунальна власність</t>
  </si>
  <si>
    <t>14027, м.Чернігів, вул.Академіка Павлова, 13</t>
  </si>
  <si>
    <t>3-50-32</t>
  </si>
  <si>
    <t>Пригара Віктор Васильович</t>
  </si>
  <si>
    <t>податок на землю</t>
  </si>
  <si>
    <t>1018/1</t>
  </si>
  <si>
    <t>охорона праці</t>
  </si>
  <si>
    <t>1018/2</t>
  </si>
  <si>
    <t>навчання</t>
  </si>
  <si>
    <t>1018/3</t>
  </si>
  <si>
    <t>зв'язок</t>
  </si>
  <si>
    <t>1018/4</t>
  </si>
  <si>
    <t>платежі банкам</t>
  </si>
  <si>
    <t>1018/5</t>
  </si>
  <si>
    <t>інші</t>
  </si>
  <si>
    <t>1018/6</t>
  </si>
  <si>
    <t>1051/1</t>
  </si>
  <si>
    <t xml:space="preserve">РКО </t>
  </si>
  <si>
    <t>1051/2</t>
  </si>
  <si>
    <t>утримання адмін.приміщень</t>
  </si>
  <si>
    <t>1051/3</t>
  </si>
  <si>
    <t>матеріали</t>
  </si>
  <si>
    <t>1051/4</t>
  </si>
  <si>
    <t>підписка</t>
  </si>
  <si>
    <t>1051/5</t>
  </si>
  <si>
    <t>1051/7</t>
  </si>
  <si>
    <t>здача металобрухту</t>
  </si>
  <si>
    <t>1073/1</t>
  </si>
  <si>
    <t>1073/2</t>
  </si>
  <si>
    <t>1073/3</t>
  </si>
  <si>
    <t>1073/4</t>
  </si>
  <si>
    <t>бюджетні кошти (поточний ремонт проїздів, знесення аварійних дерев…)</t>
  </si>
  <si>
    <t>1073/5</t>
  </si>
  <si>
    <t>1086/1</t>
  </si>
  <si>
    <t>амортизація житлового фонду</t>
  </si>
  <si>
    <t>1086/2</t>
  </si>
  <si>
    <t>пільгові пенсії</t>
  </si>
  <si>
    <t>1086/3</t>
  </si>
  <si>
    <t>відрахування на культ-масову роботу, матеріальна допомога</t>
  </si>
  <si>
    <t>1086/4</t>
  </si>
  <si>
    <t>судові витрати</t>
  </si>
  <si>
    <t>1086/5</t>
  </si>
  <si>
    <t>1086/6</t>
  </si>
  <si>
    <t>1086/8</t>
  </si>
  <si>
    <t>1152/1</t>
  </si>
  <si>
    <t>1152/2</t>
  </si>
  <si>
    <t>інші податки та збори (розшифрувати) - військовий збір</t>
  </si>
  <si>
    <t>пільги</t>
  </si>
  <si>
    <t>субсидії</t>
  </si>
  <si>
    <t>фінансова підтримка</t>
  </si>
  <si>
    <t>бюджетні кошти на виконання робіт з поточного ремонту ЖФ</t>
  </si>
  <si>
    <t>інші (громадські роботи, лікарняні)</t>
  </si>
  <si>
    <t>військовий збір</t>
  </si>
  <si>
    <t>виплати безробітним (громадські роботи)</t>
  </si>
  <si>
    <t>аліменти</t>
  </si>
  <si>
    <t>лікарняні</t>
  </si>
  <si>
    <t>РКО</t>
  </si>
  <si>
    <t>Інші</t>
  </si>
  <si>
    <t>Комунальне підприєммство "Деснянське" Чернігівської міської ради</t>
  </si>
  <si>
    <t>81.10. Комплексне обслуговування об'єктів</t>
  </si>
  <si>
    <t>1.</t>
  </si>
  <si>
    <t>виробничі цілі</t>
  </si>
  <si>
    <t>2.</t>
  </si>
  <si>
    <t>3.</t>
  </si>
  <si>
    <t>Hyundai Sonata</t>
  </si>
  <si>
    <t>Інвентар, спец.одяг</t>
  </si>
  <si>
    <t>Керівник           Начальник підприємства</t>
  </si>
  <si>
    <t>В.В.Пригара</t>
  </si>
  <si>
    <t xml:space="preserve">         (підпис)</t>
  </si>
  <si>
    <t>Інші послуги</t>
  </si>
  <si>
    <t>8 послуг</t>
  </si>
  <si>
    <t>лікарняні (з ЄСВ)</t>
  </si>
  <si>
    <t>1086/7</t>
  </si>
  <si>
    <t>1086/9</t>
  </si>
  <si>
    <t>4.</t>
  </si>
  <si>
    <t>5.</t>
  </si>
  <si>
    <t>6.</t>
  </si>
  <si>
    <t>7.</t>
  </si>
  <si>
    <t>Комп.техніка</t>
  </si>
  <si>
    <t>8.</t>
  </si>
  <si>
    <t>Облаштування контейнерних майданчиків</t>
  </si>
  <si>
    <t>Встановлення декоративних огорож</t>
  </si>
  <si>
    <t>8004</t>
  </si>
  <si>
    <t>8005</t>
  </si>
  <si>
    <t>члени наглядової ради</t>
  </si>
  <si>
    <t>члени правління</t>
  </si>
  <si>
    <t>керівник</t>
  </si>
  <si>
    <t>8024</t>
  </si>
  <si>
    <t>8025</t>
  </si>
  <si>
    <t>керівник, усього в тому числі</t>
  </si>
  <si>
    <t>посадовий оклад</t>
  </si>
  <si>
    <t>преміювання</t>
  </si>
  <si>
    <t>інші виплати, передбачені законодавством</t>
  </si>
  <si>
    <t>Меблі, вікна</t>
  </si>
  <si>
    <t>податок</t>
  </si>
  <si>
    <t>-</t>
  </si>
  <si>
    <t>Нараховані до сплати відрахування частини чистого прибутку, учього у тому числі</t>
  </si>
  <si>
    <t>господарськими товариствами, у статутному капіталі яких більше 50 відсотків акцій (часток) належить державі, на виплату дивидендів</t>
  </si>
  <si>
    <t>працівник</t>
  </si>
  <si>
    <t>3156/1</t>
  </si>
  <si>
    <t>3156/2</t>
  </si>
  <si>
    <t xml:space="preserve">відрахування частини чистого прибутку державними унітарними підприємствами та їх об'єднаннями </t>
  </si>
  <si>
    <t>3156/3</t>
  </si>
  <si>
    <t>3156/4</t>
  </si>
  <si>
    <t>Інші витрачання (розшифрувати)</t>
  </si>
  <si>
    <t>Надходження від реалізації фінансових інвестицій, у тому числі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</si>
  <si>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</si>
  <si>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</si>
  <si>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</si>
  <si>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</si>
  <si>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</si>
  <si>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 xml:space="preserve">Витрачання грошових коштів від інвестиційної діяльності </t>
  </si>
  <si>
    <t>Витрачання на придбання фінансових інвестицій, у тому числі</t>
  </si>
  <si>
    <t xml:space="preserve">витрачання на придбання акцій та облігацій  </t>
  </si>
  <si>
    <t>Витрачання на придбання необоротних активів, у тому числі</t>
  </si>
  <si>
    <r>
      <t>придбання (створення) основних засобів (розшифрувати)</t>
    </r>
    <r>
      <rPr>
        <i/>
        <sz val="14"/>
        <rFont val="Times New Roman"/>
        <family val="1"/>
        <charset val="204"/>
      </rPr>
      <t xml:space="preserve"> </t>
    </r>
  </si>
  <si>
    <t>3270/1</t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</si>
  <si>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</si>
  <si>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t>3270/2</t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</si>
  <si>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</si>
  <si>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>3270/3</t>
  </si>
  <si>
    <t>Виплати за деривативами</t>
  </si>
  <si>
    <t>Інші платежі (розшифрувати)</t>
  </si>
  <si>
    <t>Витрачання на сплату відсотків</t>
  </si>
  <si>
    <t>Витрачання на сплату заборгованості з фінансової оренди</t>
  </si>
  <si>
    <t>Чистий рух грошових коштів за звітний період</t>
  </si>
  <si>
    <t>9.</t>
  </si>
  <si>
    <t>10.</t>
  </si>
  <si>
    <t>рік</t>
  </si>
  <si>
    <t>Cуб'єкт управління</t>
  </si>
  <si>
    <t>15 послуг</t>
  </si>
  <si>
    <t>Сервер</t>
  </si>
  <si>
    <t>Снігоприб.навісна техніка</t>
  </si>
  <si>
    <t>Придбання/виготовлення контейнерів</t>
  </si>
  <si>
    <t>відрах.частини чистого прибутку господарськими товариствами, у статутному капіталі яких більше 50 відсотків акцій (часток) належить державі, на виплату дивидендів на державну частку</t>
  </si>
  <si>
    <t>за I квартал 2020 року</t>
  </si>
  <si>
    <t>222 чол</t>
  </si>
  <si>
    <t>I квартал 2020 року</t>
  </si>
  <si>
    <t>1 квартал 2020 року</t>
  </si>
  <si>
    <t>1 квартал 2020 року (без ПДВ)</t>
  </si>
  <si>
    <t>до звіту про виконання фінансового плану за I квартал 2020 рік</t>
  </si>
  <si>
    <t>Renault</t>
  </si>
  <si>
    <t>договір фінансового лізингу</t>
  </si>
  <si>
    <t>Трактор</t>
  </si>
  <si>
    <t>Рік 2020</t>
  </si>
  <si>
    <t>Передбачалося з 01.03.2020 року збільшення цін на послугу з управління на 10%. В той же час ціни на послугу з управління залишилися на рівні 01.03.2019 року. Крім того 1 будинок був знятий з обслугування з 01.02.2020 року - створено ОСББ.</t>
  </si>
  <si>
    <t>Тепла зима дозволила виконання робіт з поточного ремонту, які передбачалися до реалізації у 2 кварталі.</t>
  </si>
  <si>
    <t>За рахунок економії споживання та зниження цін на ПММ</t>
  </si>
  <si>
    <t>Земельний податок нарахований за січень-лютий 2020 року; за березень земельний податок не нараховувався на підставі Закону України «Про внесення змін до деяких законодавчих актів, спрямованих на забезпечення додаткових соціальних та економічних гарантій у зв’язку з поширенням COVID-2019»</t>
  </si>
  <si>
    <t>Доопрацювання програмного забезпечення 1С</t>
  </si>
  <si>
    <t>Стаття у ЗМІ</t>
  </si>
  <si>
    <t xml:space="preserve">прибирання кабін ліфтів </t>
  </si>
  <si>
    <t>Відповідно до рішення виконавчого комітету від 14.11.2019 року №457 з балансу підприємства були списані житлові будинки та житлові приміщення. В складі операційних витрат залишилася амортизація об'єктів благоустрою.</t>
  </si>
  <si>
    <t>Збільшення тарифів на знешкодження відходів</t>
  </si>
  <si>
    <t>код рядка 1086/2</t>
  </si>
  <si>
    <t>09.2019</t>
  </si>
  <si>
    <t>штрафні санкції</t>
  </si>
  <si>
    <r>
      <t xml:space="preserve">Загальна інформація про підприємство (резюме): КП "Деснянське" ЧМР виконує роботи з експлуатації та ремонту житлового фонду. Структура підприємства  - 3 дільниці з обслуговування житлового фонду та АТС. Загальна площа квартир житлового фонду станом на 01.04.2020 року 970,9 т.м2. Середньооблікова чисельність працівників: 222 чол, з них апарат управління, ІТП та службовці - 46 чол., робітники  та обслуговуючий персонал - 176 чол. Середньомісячна заробітна плата за І квартал 2020 року становила </t>
    </r>
    <r>
      <rPr>
        <sz val="14"/>
        <color rgb="FFFF0000"/>
        <rFont val="Times New Roman"/>
        <family val="1"/>
        <charset val="204"/>
      </rPr>
      <t>8691,3 грн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</si>
</sst>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_-* #,##0.00_₴_-;\-* #,##0.00_₴_-;_-* &quot;-&quot;??_₴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_);_(* \(#,##0\);_(* &quot;-&quot;??_);_(@_)"/>
    <numFmt numFmtId="178" formatCode="_(* #,##0.0_);_(* \(#,##0.0\);_(* &quot;-&quot;??_);_(@_)"/>
    <numFmt numFmtId="179" formatCode="#,##0.000"/>
    <numFmt numFmtId="180" formatCode="#,##0.0000"/>
    <numFmt numFmtId="181" formatCode="_(* #,##0.000_);_(* \(#,##0.000\);_(* &quot;-&quot;??_);_(@_)"/>
  </numFmts>
  <fonts count="8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0" tint="-0.34998626667073579"/>
      <name val="Times New Roman"/>
      <family val="1"/>
      <charset val="204"/>
    </font>
    <font>
      <sz val="14"/>
      <color theme="0" tint="-0.3499862666707357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b/>
      <sz val="1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67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171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9" fontId="2" fillId="0" borderId="0" applyFont="0" applyFill="0" applyBorder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172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14" fillId="0" borderId="0"/>
    <xf numFmtId="0" fontId="2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176" fontId="69" fillId="22" borderId="12" applyFill="0" applyBorder="0">
      <alignment horizontal="center" vertical="center" wrapText="1"/>
      <protection locked="0"/>
    </xf>
    <xf numFmtId="171" fontId="70" fillId="0" borderId="0">
      <alignment wrapText="1"/>
    </xf>
    <xf numFmtId="171" fontId="37" fillId="0" borderId="0">
      <alignment wrapText="1"/>
    </xf>
  </cellStyleXfs>
  <cellXfs count="545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0" fontId="5" fillId="0" borderId="0" xfId="0" applyNumberFormat="1" applyFont="1" applyFill="1" applyAlignment="1">
      <alignment vertical="center"/>
    </xf>
    <xf numFmtId="0" fontId="5" fillId="0" borderId="3" xfId="238" applyNumberFormat="1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/>
    </xf>
    <xf numFmtId="0" fontId="5" fillId="0" borderId="3" xfId="238" applyFont="1" applyFill="1" applyBorder="1" applyAlignment="1">
      <alignment horizontal="center" vertical="center"/>
    </xf>
    <xf numFmtId="0" fontId="5" fillId="0" borderId="0" xfId="246" applyFont="1" applyFill="1" applyBorder="1" applyAlignment="1">
      <alignment vertical="center"/>
    </xf>
    <xf numFmtId="0" fontId="5" fillId="0" borderId="3" xfId="246" applyFont="1" applyFill="1" applyBorder="1" applyAlignment="1">
      <alignment horizontal="left" vertical="center" wrapText="1"/>
    </xf>
    <xf numFmtId="0" fontId="4" fillId="0" borderId="0" xfId="246" applyFont="1" applyFill="1" applyBorder="1" applyAlignment="1">
      <alignment vertical="center"/>
    </xf>
    <xf numFmtId="0" fontId="5" fillId="0" borderId="0" xfId="246" applyFont="1" applyFill="1" applyBorder="1" applyAlignment="1">
      <alignment horizontal="center" vertical="center"/>
    </xf>
    <xf numFmtId="0" fontId="4" fillId="0" borderId="0" xfId="246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3" xfId="246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6" fillId="0" borderId="0" xfId="246" applyFont="1" applyFill="1"/>
    <xf numFmtId="0" fontId="5" fillId="0" borderId="0" xfId="246" applyFont="1" applyFill="1" applyBorder="1" applyAlignment="1">
      <alignment vertical="center" wrapText="1"/>
    </xf>
    <xf numFmtId="0" fontId="4" fillId="0" borderId="3" xfId="238" applyFont="1" applyFill="1" applyBorder="1" applyAlignment="1">
      <alignment horizontal="left" vertical="center"/>
    </xf>
    <xf numFmtId="0" fontId="5" fillId="0" borderId="0" xfId="0" applyFont="1" applyFill="1"/>
    <xf numFmtId="0" fontId="11" fillId="0" borderId="3" xfId="0" applyFont="1" applyFill="1" applyBorder="1" applyAlignment="1">
      <alignment horizontal="center" vertical="center" wrapText="1" shrinkToFit="1"/>
    </xf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0" xfId="246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" xfId="246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170" fontId="5" fillId="0" borderId="0" xfId="0" quotePrefix="1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3" fontId="11" fillId="0" borderId="3" xfId="0" applyNumberFormat="1" applyFont="1" applyFill="1" applyBorder="1" applyAlignment="1">
      <alignment horizontal="center" vertical="center" wrapText="1" shrinkToFit="1"/>
    </xf>
    <xf numFmtId="170" fontId="5" fillId="0" borderId="3" xfId="238" applyNumberFormat="1" applyFont="1" applyFill="1" applyBorder="1" applyAlignment="1">
      <alignment horizontal="center" vertical="center" wrapText="1"/>
    </xf>
    <xf numFmtId="0" fontId="5" fillId="0" borderId="3" xfId="238" applyNumberFormat="1" applyFont="1" applyFill="1" applyBorder="1" applyAlignment="1">
      <alignment horizontal="left" vertical="center" wrapText="1"/>
    </xf>
    <xf numFmtId="0" fontId="71" fillId="0" borderId="0" xfId="0" applyFont="1" applyFill="1"/>
    <xf numFmtId="49" fontId="5" fillId="0" borderId="3" xfId="238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vertical="center"/>
    </xf>
    <xf numFmtId="0" fontId="5" fillId="0" borderId="3" xfId="238" applyNumberFormat="1" applyFont="1" applyFill="1" applyBorder="1" applyAlignment="1">
      <alignment horizontal="center" vertical="center" wrapText="1"/>
    </xf>
    <xf numFmtId="0" fontId="5" fillId="0" borderId="3" xfId="23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 shrinkToFi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9" xfId="182" applyFont="1" applyFill="1" applyBorder="1" applyAlignment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9" xfId="0" quotePrefix="1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4" fillId="0" borderId="19" xfId="0" quotePrefix="1" applyFont="1" applyFill="1" applyBorder="1" applyAlignment="1">
      <alignment horizontal="center" vertical="center"/>
    </xf>
    <xf numFmtId="0" fontId="4" fillId="0" borderId="17" xfId="246" applyFont="1" applyFill="1" applyBorder="1" applyAlignment="1">
      <alignment horizontal="left" vertical="center" wrapText="1"/>
    </xf>
    <xf numFmtId="0" fontId="4" fillId="0" borderId="16" xfId="246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/>
    </xf>
    <xf numFmtId="0" fontId="5" fillId="0" borderId="19" xfId="246" applyFont="1" applyFill="1" applyBorder="1" applyAlignment="1">
      <alignment horizontal="left" vertical="center" wrapText="1"/>
    </xf>
    <xf numFmtId="0" fontId="5" fillId="0" borderId="20" xfId="246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169" fontId="5" fillId="0" borderId="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246" applyFont="1" applyFill="1" applyBorder="1" applyAlignment="1">
      <alignment horizontal="left" vertical="center" wrapText="1"/>
    </xf>
    <xf numFmtId="169" fontId="5" fillId="0" borderId="3" xfId="207" applyNumberFormat="1" applyFont="1" applyFill="1" applyBorder="1" applyAlignment="1">
      <alignment horizontal="right" vertical="center" wrapText="1"/>
    </xf>
    <xf numFmtId="169" fontId="4" fillId="0" borderId="3" xfId="207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 wrapText="1"/>
    </xf>
    <xf numFmtId="170" fontId="5" fillId="0" borderId="19" xfId="0" applyNumberFormat="1" applyFont="1" applyFill="1" applyBorder="1" applyAlignment="1">
      <alignment horizontal="right" vertical="center" wrapText="1"/>
    </xf>
    <xf numFmtId="170" fontId="4" fillId="0" borderId="19" xfId="0" applyNumberFormat="1" applyFont="1" applyFill="1" applyBorder="1" applyAlignment="1">
      <alignment horizontal="right" vertical="center" wrapText="1"/>
    </xf>
    <xf numFmtId="0" fontId="4" fillId="26" borderId="14" xfId="246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170" fontId="5" fillId="0" borderId="3" xfId="0" applyNumberFormat="1" applyFont="1" applyFill="1" applyBorder="1" applyAlignment="1">
      <alignment horizontal="right" vertical="center" wrapText="1"/>
    </xf>
    <xf numFmtId="170" fontId="4" fillId="0" borderId="3" xfId="0" applyNumberFormat="1" applyFont="1" applyFill="1" applyBorder="1" applyAlignment="1">
      <alignment horizontal="right" vertical="center" wrapText="1"/>
    </xf>
    <xf numFmtId="170" fontId="5" fillId="30" borderId="3" xfId="0" applyNumberFormat="1" applyFont="1" applyFill="1" applyBorder="1" applyAlignment="1">
      <alignment horizontal="center" vertical="center" wrapText="1"/>
    </xf>
    <xf numFmtId="170" fontId="5" fillId="0" borderId="20" xfId="0" applyNumberFormat="1" applyFont="1" applyFill="1" applyBorder="1" applyAlignment="1">
      <alignment horizontal="right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170" fontId="5" fillId="0" borderId="16" xfId="0" applyNumberFormat="1" applyFont="1" applyFill="1" applyBorder="1" applyAlignment="1">
      <alignment vertical="center"/>
    </xf>
    <xf numFmtId="170" fontId="5" fillId="0" borderId="16" xfId="0" applyNumberFormat="1" applyFont="1" applyFill="1" applyBorder="1" applyAlignment="1">
      <alignment vertical="center" wrapText="1"/>
    </xf>
    <xf numFmtId="170" fontId="5" fillId="0" borderId="3" xfId="0" applyNumberFormat="1" applyFont="1" applyFill="1" applyBorder="1" applyAlignment="1">
      <alignment vertical="center"/>
    </xf>
    <xf numFmtId="170" fontId="5" fillId="0" borderId="17" xfId="0" applyNumberFormat="1" applyFont="1" applyFill="1" applyBorder="1" applyAlignment="1">
      <alignment vertical="center" wrapText="1"/>
    </xf>
    <xf numFmtId="170" fontId="5" fillId="0" borderId="17" xfId="0" applyNumberFormat="1" applyFont="1" applyFill="1" applyBorder="1" applyAlignment="1">
      <alignment vertical="center"/>
    </xf>
    <xf numFmtId="170" fontId="4" fillId="27" borderId="3" xfId="0" applyNumberFormat="1" applyFont="1" applyFill="1" applyBorder="1" applyAlignment="1">
      <alignment horizontal="center" vertical="center" wrapText="1"/>
    </xf>
    <xf numFmtId="170" fontId="4" fillId="26" borderId="3" xfId="0" applyNumberFormat="1" applyFont="1" applyFill="1" applyBorder="1" applyAlignment="1">
      <alignment horizontal="center" vertical="center" wrapText="1"/>
    </xf>
    <xf numFmtId="170" fontId="4" fillId="29" borderId="3" xfId="0" applyNumberFormat="1" applyFont="1" applyFill="1" applyBorder="1" applyAlignment="1">
      <alignment horizontal="center" vertical="center" wrapText="1"/>
    </xf>
    <xf numFmtId="170" fontId="4" fillId="0" borderId="0" xfId="0" quotePrefix="1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horizontal="left" vertical="center"/>
    </xf>
    <xf numFmtId="170" fontId="5" fillId="0" borderId="0" xfId="0" applyNumberFormat="1" applyFont="1" applyFill="1" applyBorder="1" applyAlignment="1">
      <alignment horizontal="left" vertical="justify"/>
    </xf>
    <xf numFmtId="170" fontId="5" fillId="0" borderId="0" xfId="0" applyNumberFormat="1" applyFont="1" applyFill="1" applyAlignment="1">
      <alignment horizontal="center" vertical="center"/>
    </xf>
    <xf numFmtId="170" fontId="5" fillId="0" borderId="0" xfId="0" applyNumberFormat="1" applyFont="1" applyFill="1" applyAlignment="1">
      <alignment horizontal="left" vertical="center"/>
    </xf>
    <xf numFmtId="170" fontId="5" fillId="0" borderId="15" xfId="0" applyNumberFormat="1" applyFont="1" applyFill="1" applyBorder="1" applyAlignment="1">
      <alignment horizontal="center" vertical="center" wrapText="1"/>
    </xf>
    <xf numFmtId="170" fontId="5" fillId="0" borderId="19" xfId="0" applyNumberFormat="1" applyFont="1" applyFill="1" applyBorder="1" applyAlignment="1">
      <alignment horizontal="center" vertical="center" wrapText="1"/>
    </xf>
    <xf numFmtId="170" fontId="4" fillId="0" borderId="3" xfId="0" applyNumberFormat="1" applyFont="1" applyFill="1" applyBorder="1" applyAlignment="1">
      <alignment horizontal="center" vertical="center" wrapText="1"/>
    </xf>
    <xf numFmtId="170" fontId="5" fillId="0" borderId="17" xfId="0" applyNumberFormat="1" applyFont="1" applyFill="1" applyBorder="1" applyAlignment="1">
      <alignment horizontal="center" vertical="center" wrapText="1"/>
    </xf>
    <xf numFmtId="170" fontId="5" fillId="30" borderId="19" xfId="0" applyNumberFormat="1" applyFont="1" applyFill="1" applyBorder="1" applyAlignment="1">
      <alignment horizontal="center" vertical="center" wrapText="1"/>
    </xf>
    <xf numFmtId="170" fontId="5" fillId="27" borderId="3" xfId="0" applyNumberFormat="1" applyFont="1" applyFill="1" applyBorder="1" applyAlignment="1">
      <alignment horizontal="center" vertical="center" wrapText="1"/>
    </xf>
    <xf numFmtId="170" fontId="4" fillId="0" borderId="19" xfId="0" applyNumberFormat="1" applyFont="1" applyFill="1" applyBorder="1" applyAlignment="1">
      <alignment horizontal="center" vertical="center" wrapText="1"/>
    </xf>
    <xf numFmtId="170" fontId="4" fillId="27" borderId="19" xfId="0" applyNumberFormat="1" applyFont="1" applyFill="1" applyBorder="1" applyAlignment="1">
      <alignment horizontal="center" vertical="center" wrapText="1"/>
    </xf>
    <xf numFmtId="170" fontId="5" fillId="0" borderId="20" xfId="0" applyNumberFormat="1" applyFont="1" applyFill="1" applyBorder="1" applyAlignment="1">
      <alignment horizontal="center" vertical="center" wrapText="1"/>
    </xf>
    <xf numFmtId="170" fontId="5" fillId="29" borderId="19" xfId="0" applyNumberFormat="1" applyFont="1" applyFill="1" applyBorder="1" applyAlignment="1">
      <alignment horizontal="center" vertical="center" wrapText="1"/>
    </xf>
    <xf numFmtId="170" fontId="5" fillId="29" borderId="3" xfId="0" applyNumberFormat="1" applyFont="1" applyFill="1" applyBorder="1" applyAlignment="1">
      <alignment horizontal="center" vertical="center" wrapText="1"/>
    </xf>
    <xf numFmtId="170" fontId="5" fillId="29" borderId="15" xfId="0" applyNumberFormat="1" applyFont="1" applyFill="1" applyBorder="1" applyAlignment="1">
      <alignment horizontal="center" vertical="center" wrapText="1"/>
    </xf>
    <xf numFmtId="170" fontId="5" fillId="29" borderId="20" xfId="0" applyNumberFormat="1" applyFont="1" applyFill="1" applyBorder="1" applyAlignment="1">
      <alignment horizontal="center" vertical="center" wrapText="1"/>
    </xf>
    <xf numFmtId="170" fontId="5" fillId="0" borderId="0" xfId="246" applyNumberFormat="1" applyFont="1" applyFill="1" applyBorder="1" applyAlignment="1">
      <alignment horizontal="center" vertical="center"/>
    </xf>
    <xf numFmtId="170" fontId="4" fillId="0" borderId="17" xfId="246" applyNumberFormat="1" applyFont="1" applyFill="1" applyBorder="1" applyAlignment="1">
      <alignment horizontal="left" vertical="center" wrapText="1"/>
    </xf>
    <xf numFmtId="170" fontId="4" fillId="0" borderId="0" xfId="0" quotePrefix="1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/>
    </xf>
    <xf numFmtId="170" fontId="7" fillId="0" borderId="3" xfId="0" applyNumberFormat="1" applyFont="1" applyFill="1" applyBorder="1" applyAlignment="1">
      <alignment horizontal="center" vertical="center" wrapText="1"/>
    </xf>
    <xf numFmtId="1" fontId="5" fillId="0" borderId="3" xfId="246" applyNumberFormat="1" applyFont="1" applyFill="1" applyBorder="1" applyAlignment="1">
      <alignment horizontal="center" vertical="center"/>
    </xf>
    <xf numFmtId="1" fontId="5" fillId="0" borderId="3" xfId="246" applyNumberFormat="1" applyFont="1" applyFill="1" applyBorder="1" applyAlignment="1">
      <alignment horizontal="center" vertical="center" wrapText="1"/>
    </xf>
    <xf numFmtId="1" fontId="5" fillId="0" borderId="0" xfId="246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Alignment="1">
      <alignment vertical="center"/>
    </xf>
    <xf numFmtId="0" fontId="5" fillId="0" borderId="3" xfId="0" quotePrefix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76" fillId="0" borderId="0" xfId="0" quotePrefix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170" fontId="76" fillId="0" borderId="0" xfId="0" quotePrefix="1" applyNumberFormat="1" applyFont="1" applyFill="1" applyBorder="1" applyAlignment="1">
      <alignment vertical="center" wrapText="1"/>
    </xf>
    <xf numFmtId="0" fontId="76" fillId="0" borderId="0" xfId="0" applyFont="1" applyFill="1" applyAlignment="1">
      <alignment vertical="center"/>
    </xf>
    <xf numFmtId="170" fontId="76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 shrinkToFit="1"/>
    </xf>
    <xf numFmtId="170" fontId="5" fillId="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170" fontId="4" fillId="0" borderId="3" xfId="0" applyNumberFormat="1" applyFont="1" applyFill="1" applyBorder="1" applyAlignment="1">
      <alignment horizontal="left"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0" fontId="78" fillId="0" borderId="0" xfId="246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169" fontId="80" fillId="0" borderId="0" xfId="0" applyNumberFormat="1" applyFont="1" applyFill="1" applyBorder="1" applyAlignment="1">
      <alignment horizontal="right" vertical="center"/>
    </xf>
    <xf numFmtId="169" fontId="81" fillId="0" borderId="0" xfId="0" applyNumberFormat="1" applyFont="1" applyFill="1" applyBorder="1" applyAlignment="1">
      <alignment horizontal="right" vertical="center"/>
    </xf>
    <xf numFmtId="4" fontId="5" fillId="0" borderId="3" xfId="238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horizontal="center" vertical="center" wrapText="1"/>
    </xf>
    <xf numFmtId="178" fontId="4" fillId="0" borderId="14" xfId="207" applyNumberFormat="1" applyFont="1" applyFill="1" applyBorder="1" applyAlignment="1">
      <alignment horizontal="right" vertical="center" wrapText="1"/>
    </xf>
    <xf numFmtId="178" fontId="4" fillId="0" borderId="16" xfId="207" applyNumberFormat="1" applyFont="1" applyFill="1" applyBorder="1" applyAlignment="1">
      <alignment horizontal="right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horizontal="center" vertical="center" wrapText="1"/>
    </xf>
    <xf numFmtId="178" fontId="7" fillId="0" borderId="17" xfId="0" applyNumberFormat="1" applyFont="1" applyFill="1" applyBorder="1" applyAlignment="1">
      <alignment horizontal="center" vertical="center" wrapText="1"/>
    </xf>
    <xf numFmtId="178" fontId="7" fillId="0" borderId="16" xfId="0" applyNumberFormat="1" applyFont="1" applyFill="1" applyBorder="1" applyAlignment="1">
      <alignment horizontal="center" vertical="center" wrapText="1"/>
    </xf>
    <xf numFmtId="178" fontId="7" fillId="0" borderId="14" xfId="207" applyNumberFormat="1" applyFont="1" applyFill="1" applyBorder="1" applyAlignment="1">
      <alignment horizontal="right" vertical="center" wrapText="1"/>
    </xf>
    <xf numFmtId="178" fontId="7" fillId="0" borderId="16" xfId="207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78" fillId="0" borderId="0" xfId="0" applyFont="1" applyFill="1" applyAlignment="1">
      <alignment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4" fontId="5" fillId="29" borderId="19" xfId="0" applyNumberFormat="1" applyFont="1" applyFill="1" applyBorder="1" applyAlignment="1">
      <alignment horizontal="center" vertical="center" wrapText="1"/>
    </xf>
    <xf numFmtId="179" fontId="5" fillId="29" borderId="19" xfId="0" applyNumberFormat="1" applyFont="1" applyFill="1" applyBorder="1" applyAlignment="1">
      <alignment horizontal="center" vertical="center" wrapText="1"/>
    </xf>
    <xf numFmtId="4" fontId="5" fillId="29" borderId="3" xfId="0" applyNumberFormat="1" applyFont="1" applyFill="1" applyBorder="1" applyAlignment="1">
      <alignment horizontal="center" vertical="center" wrapText="1"/>
    </xf>
    <xf numFmtId="179" fontId="5" fillId="29" borderId="3" xfId="0" applyNumberFormat="1" applyFont="1" applyFill="1" applyBorder="1" applyAlignment="1">
      <alignment horizontal="center" vertical="center" wrapText="1"/>
    </xf>
    <xf numFmtId="179" fontId="5" fillId="0" borderId="3" xfId="238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 wrapText="1"/>
    </xf>
    <xf numFmtId="180" fontId="5" fillId="0" borderId="3" xfId="238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246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left" vertical="center"/>
    </xf>
    <xf numFmtId="0" fontId="76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5" fillId="0" borderId="3" xfId="246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81" fontId="5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170" fontId="5" fillId="0" borderId="3" xfId="0" applyNumberFormat="1" applyFont="1" applyFill="1" applyBorder="1" applyAlignment="1">
      <alignment horizontal="center" vertical="center"/>
    </xf>
    <xf numFmtId="169" fontId="5" fillId="0" borderId="3" xfId="207" applyNumberFormat="1" applyFont="1" applyFill="1" applyBorder="1" applyAlignment="1">
      <alignment horizontal="right" vertical="center"/>
    </xf>
    <xf numFmtId="49" fontId="5" fillId="0" borderId="3" xfId="0" quotePrefix="1" applyNumberFormat="1" applyFont="1" applyFill="1" applyBorder="1" applyAlignment="1">
      <alignment horizontal="left" vertical="center"/>
    </xf>
    <xf numFmtId="170" fontId="5" fillId="30" borderId="3" xfId="0" applyNumberFormat="1" applyFont="1" applyFill="1" applyBorder="1" applyAlignment="1">
      <alignment horizontal="center" vertical="center"/>
    </xf>
    <xf numFmtId="170" fontId="4" fillId="29" borderId="3" xfId="0" applyNumberFormat="1" applyFont="1" applyFill="1" applyBorder="1" applyAlignment="1">
      <alignment horizontal="center" vertical="center"/>
    </xf>
    <xf numFmtId="170" fontId="4" fillId="0" borderId="3" xfId="0" applyNumberFormat="1" applyFont="1" applyFill="1" applyBorder="1" applyAlignment="1">
      <alignment horizontal="center" vertical="center"/>
    </xf>
    <xf numFmtId="169" fontId="4" fillId="0" borderId="3" xfId="207" applyNumberFormat="1" applyFont="1" applyFill="1" applyBorder="1" applyAlignment="1">
      <alignment horizontal="right" vertical="center"/>
    </xf>
    <xf numFmtId="49" fontId="4" fillId="0" borderId="3" xfId="0" quotePrefix="1" applyNumberFormat="1" applyFont="1" applyFill="1" applyBorder="1" applyAlignment="1">
      <alignment horizontal="left" vertical="center"/>
    </xf>
    <xf numFmtId="170" fontId="5" fillId="0" borderId="3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13" fillId="0" borderId="3" xfId="0" applyNumberFormat="1" applyFont="1" applyFill="1" applyBorder="1" applyAlignment="1">
      <alignment horizontal="left" vertical="center"/>
    </xf>
    <xf numFmtId="170" fontId="4" fillId="30" borderId="3" xfId="0" applyNumberFormat="1" applyFont="1" applyFill="1" applyBorder="1" applyAlignment="1">
      <alignment horizontal="center" vertical="center"/>
    </xf>
    <xf numFmtId="170" fontId="5" fillId="0" borderId="15" xfId="0" applyNumberFormat="1" applyFont="1" applyFill="1" applyBorder="1" applyAlignment="1">
      <alignment horizontal="center" vertical="center"/>
    </xf>
    <xf numFmtId="49" fontId="13" fillId="0" borderId="3" xfId="0" quotePrefix="1" applyNumberFormat="1" applyFont="1" applyFill="1" applyBorder="1" applyAlignment="1">
      <alignment horizontal="left" vertical="center"/>
    </xf>
    <xf numFmtId="49" fontId="82" fillId="0" borderId="3" xfId="0" quotePrefix="1" applyNumberFormat="1" applyFont="1" applyFill="1" applyBorder="1" applyAlignment="1">
      <alignment horizontal="left" vertical="center"/>
    </xf>
    <xf numFmtId="169" fontId="13" fillId="0" borderId="3" xfId="207" applyNumberFormat="1" applyFont="1" applyFill="1" applyBorder="1" applyAlignment="1">
      <alignment horizontal="left" vertical="center"/>
    </xf>
    <xf numFmtId="169" fontId="13" fillId="0" borderId="3" xfId="207" applyNumberFormat="1" applyFont="1" applyFill="1" applyBorder="1" applyAlignment="1">
      <alignment horizontal="right" vertical="center"/>
    </xf>
    <xf numFmtId="170" fontId="4" fillId="27" borderId="3" xfId="0" applyNumberFormat="1" applyFont="1" applyFill="1" applyBorder="1" applyAlignment="1">
      <alignment horizontal="center" vertical="center"/>
    </xf>
    <xf numFmtId="169" fontId="5" fillId="0" borderId="3" xfId="207" applyNumberFormat="1" applyFont="1" applyFill="1" applyBorder="1" applyAlignment="1">
      <alignment horizontal="left" vertical="center"/>
    </xf>
    <xf numFmtId="49" fontId="13" fillId="0" borderId="3" xfId="0" quotePrefix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 shrinkToFit="1"/>
    </xf>
    <xf numFmtId="49" fontId="11" fillId="0" borderId="3" xfId="0" quotePrefix="1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left" vertical="center"/>
    </xf>
    <xf numFmtId="170" fontId="4" fillId="26" borderId="3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/>
    </xf>
    <xf numFmtId="170" fontId="76" fillId="0" borderId="0" xfId="0" applyNumberFormat="1" applyFont="1" applyFill="1" applyBorder="1" applyAlignment="1">
      <alignment horizontal="left" vertical="center"/>
    </xf>
    <xf numFmtId="170" fontId="76" fillId="0" borderId="0" xfId="0" quotePrefix="1" applyNumberFormat="1" applyFont="1" applyFill="1" applyBorder="1" applyAlignment="1">
      <alignment vertical="center"/>
    </xf>
    <xf numFmtId="0" fontId="4" fillId="0" borderId="3" xfId="246" applyFont="1" applyFill="1" applyBorder="1" applyAlignment="1">
      <alignment horizontal="left" vertical="center"/>
    </xf>
    <xf numFmtId="169" fontId="4" fillId="0" borderId="3" xfId="246" applyNumberFormat="1" applyFont="1" applyFill="1" applyBorder="1" applyAlignment="1">
      <alignment horizontal="center" vertical="center"/>
    </xf>
    <xf numFmtId="170" fontId="4" fillId="0" borderId="3" xfId="246" applyNumberFormat="1" applyFont="1" applyFill="1" applyBorder="1" applyAlignment="1">
      <alignment horizontal="center" vertical="center"/>
    </xf>
    <xf numFmtId="0" fontId="5" fillId="0" borderId="3" xfId="246" applyFont="1" applyFill="1" applyBorder="1" applyAlignment="1">
      <alignment horizontal="left" vertical="center"/>
    </xf>
    <xf numFmtId="170" fontId="79" fillId="0" borderId="3" xfId="0" applyNumberFormat="1" applyFont="1" applyFill="1" applyBorder="1" applyAlignment="1">
      <alignment horizontal="center" vertical="center"/>
    </xf>
    <xf numFmtId="169" fontId="5" fillId="0" borderId="3" xfId="207" applyNumberFormat="1" applyFont="1" applyFill="1" applyBorder="1" applyAlignment="1">
      <alignment horizontal="center" vertical="center"/>
    </xf>
    <xf numFmtId="170" fontId="5" fillId="27" borderId="3" xfId="0" applyNumberFormat="1" applyFont="1" applyFill="1" applyBorder="1" applyAlignment="1">
      <alignment horizontal="center" vertical="center"/>
    </xf>
    <xf numFmtId="49" fontId="13" fillId="0" borderId="3" xfId="0" quotePrefix="1" applyNumberFormat="1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left" vertical="center" wrapText="1"/>
    </xf>
    <xf numFmtId="169" fontId="13" fillId="0" borderId="3" xfId="207" applyNumberFormat="1" applyFont="1" applyFill="1" applyBorder="1" applyAlignment="1">
      <alignment horizontal="left" vertical="center" wrapText="1"/>
    </xf>
    <xf numFmtId="49" fontId="11" fillId="0" borderId="3" xfId="0" quotePrefix="1" applyNumberFormat="1" applyFont="1" applyFill="1" applyBorder="1" applyAlignment="1">
      <alignment horizontal="left" vertical="center" wrapText="1"/>
    </xf>
    <xf numFmtId="0" fontId="79" fillId="0" borderId="3" xfId="0" applyFont="1" applyFill="1" applyBorder="1" applyAlignment="1">
      <alignment horizontal="right" vertical="center"/>
    </xf>
    <xf numFmtId="170" fontId="79" fillId="0" borderId="3" xfId="0" applyNumberFormat="1" applyFont="1" applyFill="1" applyBorder="1" applyAlignment="1">
      <alignment horizontal="right" vertical="center"/>
    </xf>
    <xf numFmtId="169" fontId="79" fillId="0" borderId="3" xfId="207" applyNumberFormat="1" applyFont="1" applyFill="1" applyBorder="1" applyAlignment="1">
      <alignment horizontal="right" vertical="center"/>
    </xf>
    <xf numFmtId="49" fontId="85" fillId="0" borderId="3" xfId="0" quotePrefix="1" applyNumberFormat="1" applyFont="1" applyFill="1" applyBorder="1" applyAlignment="1">
      <alignment horizontal="left" vertical="center"/>
    </xf>
    <xf numFmtId="0" fontId="79" fillId="0" borderId="0" xfId="0" applyFont="1" applyFill="1" applyAlignment="1">
      <alignment horizontal="right" vertical="center"/>
    </xf>
    <xf numFmtId="170" fontId="79" fillId="0" borderId="0" xfId="0" applyNumberFormat="1" applyFont="1" applyFill="1" applyBorder="1" applyAlignment="1">
      <alignment horizontal="center" vertical="center"/>
    </xf>
    <xf numFmtId="170" fontId="5" fillId="31" borderId="3" xfId="0" applyNumberFormat="1" applyFont="1" applyFill="1" applyBorder="1" applyAlignment="1">
      <alignment horizontal="center" vertical="center" wrapText="1"/>
    </xf>
    <xf numFmtId="170" fontId="74" fillId="0" borderId="0" xfId="0" applyNumberFormat="1" applyFont="1" applyFill="1" applyBorder="1" applyAlignment="1">
      <alignment horizontal="left" vertical="center"/>
    </xf>
    <xf numFmtId="170" fontId="4" fillId="0" borderId="0" xfId="0" applyNumberFormat="1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238" applyNumberFormat="1" applyFont="1" applyFill="1" applyBorder="1" applyAlignment="1">
      <alignment horizontal="center" vertical="center" wrapText="1"/>
    </xf>
    <xf numFmtId="0" fontId="4" fillId="0" borderId="21" xfId="238" applyNumberFormat="1" applyFont="1" applyFill="1" applyBorder="1" applyAlignment="1">
      <alignment horizontal="center" vertical="center" wrapText="1"/>
    </xf>
    <xf numFmtId="0" fontId="4" fillId="0" borderId="22" xfId="238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0" fontId="4" fillId="0" borderId="3" xfId="246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left" vertical="center" wrapText="1"/>
    </xf>
    <xf numFmtId="170" fontId="5" fillId="0" borderId="16" xfId="0" applyNumberFormat="1" applyFont="1" applyFill="1" applyBorder="1" applyAlignment="1">
      <alignment horizontal="left" vertical="center" wrapText="1"/>
    </xf>
    <xf numFmtId="170" fontId="0" fillId="0" borderId="16" xfId="0" applyNumberForma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246" applyFont="1" applyFill="1" applyBorder="1" applyAlignment="1">
      <alignment horizontal="center" vertical="center"/>
    </xf>
    <xf numFmtId="0" fontId="5" fillId="0" borderId="3" xfId="246" applyFont="1" applyFill="1" applyBorder="1" applyAlignment="1">
      <alignment horizontal="center" vertical="center"/>
    </xf>
    <xf numFmtId="0" fontId="5" fillId="0" borderId="3" xfId="246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238" applyNumberFormat="1" applyFont="1" applyFill="1" applyBorder="1" applyAlignment="1">
      <alignment horizontal="center" vertical="center" wrapText="1"/>
    </xf>
    <xf numFmtId="0" fontId="5" fillId="0" borderId="15" xfId="238" applyNumberFormat="1" applyFont="1" applyFill="1" applyBorder="1" applyAlignment="1">
      <alignment horizontal="center" vertical="center" wrapText="1"/>
    </xf>
    <xf numFmtId="0" fontId="5" fillId="0" borderId="19" xfId="238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17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83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178" fontId="5" fillId="0" borderId="3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8" fontId="5" fillId="0" borderId="14" xfId="207" applyNumberFormat="1" applyFont="1" applyFill="1" applyBorder="1" applyAlignment="1">
      <alignment horizontal="right" vertical="center" wrapText="1"/>
    </xf>
    <xf numFmtId="178" fontId="5" fillId="0" borderId="16" xfId="207" applyNumberFormat="1" applyFont="1" applyFill="1" applyBorder="1" applyAlignment="1">
      <alignment horizontal="right" vertical="center" wrapText="1"/>
    </xf>
    <xf numFmtId="178" fontId="4" fillId="0" borderId="14" xfId="207" applyNumberFormat="1" applyFont="1" applyFill="1" applyBorder="1" applyAlignment="1">
      <alignment horizontal="right" vertical="center" wrapText="1"/>
    </xf>
    <xf numFmtId="178" fontId="4" fillId="0" borderId="16" xfId="207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170" fontId="5" fillId="0" borderId="16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 shrinkToFi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 shrinkToFit="1"/>
    </xf>
    <xf numFmtId="3" fontId="11" fillId="0" borderId="16" xfId="0" applyNumberFormat="1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77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left" vertical="center" wrapText="1" shrinkToFit="1"/>
    </xf>
    <xf numFmtId="177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11" fillId="0" borderId="14" xfId="0" applyNumberFormat="1" applyFont="1" applyFill="1" applyBorder="1" applyAlignment="1">
      <alignment horizontal="left" vertical="center" wrapText="1" shrinkToFit="1"/>
    </xf>
    <xf numFmtId="0" fontId="11" fillId="0" borderId="16" xfId="0" applyNumberFormat="1" applyFont="1" applyFill="1" applyBorder="1" applyAlignment="1">
      <alignment horizontal="left" vertical="center" wrapText="1" shrinkToFit="1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7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7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7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36" xfId="0" applyFont="1" applyFill="1" applyBorder="1" applyAlignment="1">
      <alignment horizontal="center" vertical="center" wrapText="1" shrinkToFit="1"/>
    </xf>
    <xf numFmtId="170" fontId="76" fillId="0" borderId="0" xfId="0" applyNumberFormat="1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left" vertical="center"/>
    </xf>
    <xf numFmtId="0" fontId="76" fillId="0" borderId="0" xfId="0" applyFont="1" applyFill="1" applyAlignment="1">
      <alignment horizontal="center" vertical="center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8"/>
    <cellStyle name="Вывод 3" xfId="209"/>
    <cellStyle name="Вычисление 2" xfId="210"/>
    <cellStyle name="Вычисление 3" xfId="211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2" xfId="238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2" xfId="246"/>
    <cellStyle name="Обычный 2 2 2" xfId="247"/>
    <cellStyle name="Обычный 2 2 3" xfId="248"/>
    <cellStyle name="Обычный 2 2_Расшифровка прочих" xfId="249"/>
    <cellStyle name="Обычный 2 3" xfId="250"/>
    <cellStyle name="Обычный 2 4" xfId="251"/>
    <cellStyle name="Обычный 2 5" xfId="252"/>
    <cellStyle name="Обычный 2 6" xfId="253"/>
    <cellStyle name="Обычный 2 7" xfId="254"/>
    <cellStyle name="Обычный 2 8" xfId="255"/>
    <cellStyle name="Обычный 2 9" xfId="256"/>
    <cellStyle name="Обычный 2_2604-2010" xfId="257"/>
    <cellStyle name="Обычный 3" xfId="258"/>
    <cellStyle name="Обычный 3 10" xfId="259"/>
    <cellStyle name="Обычный 3 11" xfId="260"/>
    <cellStyle name="Обычный 3 12" xfId="261"/>
    <cellStyle name="Обычный 3 13" xfId="262"/>
    <cellStyle name="Обычный 3 14" xfId="263"/>
    <cellStyle name="Обычный 3 2" xfId="264"/>
    <cellStyle name="Обычный 3 3" xfId="265"/>
    <cellStyle name="Обычный 3 4" xfId="266"/>
    <cellStyle name="Обычный 3 5" xfId="267"/>
    <cellStyle name="Обычный 3 6" xfId="268"/>
    <cellStyle name="Обычный 3 7" xfId="269"/>
    <cellStyle name="Обычный 3 8" xfId="270"/>
    <cellStyle name="Обычный 3 9" xfId="271"/>
    <cellStyle name="Обычный 3_Дефицит_7 млрд_0608_бс" xfId="272"/>
    <cellStyle name="Обычный 4" xfId="273"/>
    <cellStyle name="Обычный 5" xfId="274"/>
    <cellStyle name="Обычный 5 2" xfId="275"/>
    <cellStyle name="Обычный 6" xfId="276"/>
    <cellStyle name="Обычный 6 2" xfId="277"/>
    <cellStyle name="Обычный 6 3" xfId="278"/>
    <cellStyle name="Обычный 6 4" xfId="279"/>
    <cellStyle name="Обычный 6_Дефицит_7 млрд_0608_бс" xfId="280"/>
    <cellStyle name="Обычный 7" xfId="281"/>
    <cellStyle name="Обычный 7 2" xfId="282"/>
    <cellStyle name="Обычный 8" xfId="283"/>
    <cellStyle name="Обычный 9" xfId="284"/>
    <cellStyle name="Обычный 9 2" xfId="285"/>
    <cellStyle name="Плохой 2" xfId="286"/>
    <cellStyle name="Плохой 3" xfId="287"/>
    <cellStyle name="Пояснение 2" xfId="288"/>
    <cellStyle name="Пояснение 3" xfId="289"/>
    <cellStyle name="Примечание 2" xfId="290"/>
    <cellStyle name="Примечание 3" xfId="291"/>
    <cellStyle name="Процентный" xfId="207" builtinId="5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625522</xdr:colOff>
      <xdr:row>133</xdr:row>
      <xdr:rowOff>85298</xdr:rowOff>
    </xdr:from>
    <xdr:to>
      <xdr:col>6</xdr:col>
      <xdr:colOff>526007</xdr:colOff>
      <xdr:row>139</xdr:row>
      <xdr:rowOff>127948</xdr:rowOff>
    </xdr:to>
    <xdr:cxnSp macro="">
      <xdr:nvCxnSpPr>
        <xdr:cNvPr id="3" name="Прямая со стрелкой 2"/>
        <xdr:cNvCxnSpPr/>
      </xdr:nvCxnSpPr>
      <xdr:spPr>
        <a:xfrm flipV="1">
          <a:off x="11956007" y="37005336"/>
          <a:ext cx="1108881" cy="14074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501"/>
  <sheetViews>
    <sheetView tabSelected="1" zoomScale="50" zoomScaleNormal="50" zoomScaleSheetLayoutView="65" workbookViewId="0">
      <selection activeCell="K22" sqref="K22"/>
    </sheetView>
  </sheetViews>
  <sheetFormatPr defaultColWidth="9.109375" defaultRowHeight="18"/>
  <cols>
    <col min="1" max="1" width="86.109375" style="3" customWidth="1"/>
    <col min="2" max="2" width="17.109375" style="24" customWidth="1"/>
    <col min="3" max="6" width="30.6640625" style="154" customWidth="1"/>
    <col min="7" max="7" width="25.6640625" style="154" customWidth="1"/>
    <col min="8" max="8" width="21.6640625" style="24" customWidth="1"/>
    <col min="9" max="9" width="10" style="3" customWidth="1"/>
    <col min="10" max="10" width="9.5546875" style="3" customWidth="1"/>
    <col min="11" max="16384" width="9.109375" style="3"/>
  </cols>
  <sheetData>
    <row r="1" spans="1:12" ht="18.75" customHeight="1">
      <c r="B1" s="21"/>
      <c r="C1" s="357"/>
      <c r="D1" s="358"/>
      <c r="E1" s="155"/>
      <c r="F1" s="364" t="s">
        <v>158</v>
      </c>
      <c r="G1" s="364"/>
      <c r="H1" s="364"/>
      <c r="I1" s="92"/>
      <c r="J1" s="92"/>
      <c r="K1" s="92"/>
      <c r="L1" s="92"/>
    </row>
    <row r="2" spans="1:12" ht="18.75" customHeight="1">
      <c r="A2" s="66"/>
      <c r="C2" s="357"/>
      <c r="D2" s="358"/>
      <c r="E2" s="155"/>
      <c r="F2" s="364" t="s">
        <v>91</v>
      </c>
      <c r="G2" s="364"/>
      <c r="H2" s="364"/>
      <c r="I2" s="92"/>
      <c r="J2" s="92"/>
      <c r="K2" s="92"/>
      <c r="L2" s="92"/>
    </row>
    <row r="3" spans="1:12" ht="18.75" customHeight="1">
      <c r="A3" s="24"/>
      <c r="E3" s="159"/>
      <c r="F3" s="364" t="s">
        <v>173</v>
      </c>
      <c r="G3" s="364"/>
      <c r="H3" s="364"/>
      <c r="I3" s="92"/>
      <c r="J3" s="92"/>
      <c r="K3" s="92"/>
      <c r="L3" s="92"/>
    </row>
    <row r="4" spans="1:12" ht="18.75" customHeight="1">
      <c r="A4" s="24"/>
      <c r="E4" s="159"/>
      <c r="F4" s="364" t="s">
        <v>174</v>
      </c>
      <c r="G4" s="364"/>
      <c r="H4" s="364"/>
      <c r="I4" s="92"/>
      <c r="J4" s="92"/>
      <c r="K4" s="92"/>
      <c r="L4" s="92"/>
    </row>
    <row r="5" spans="1:12" ht="18.75" customHeight="1">
      <c r="A5" s="24"/>
      <c r="E5" s="159"/>
      <c r="F5" s="160" t="s">
        <v>218</v>
      </c>
      <c r="G5" s="159"/>
      <c r="H5" s="65"/>
      <c r="I5" s="92"/>
      <c r="J5" s="92"/>
      <c r="K5" s="92"/>
      <c r="L5" s="92"/>
    </row>
    <row r="6" spans="1:12" ht="18.75" customHeight="1">
      <c r="A6" s="24"/>
      <c r="E6" s="159"/>
      <c r="F6" s="159"/>
      <c r="G6" s="159"/>
      <c r="H6" s="65"/>
      <c r="I6" s="92"/>
      <c r="J6" s="92"/>
      <c r="K6" s="92"/>
      <c r="L6" s="92"/>
    </row>
    <row r="7" spans="1:12" ht="18.75" customHeight="1">
      <c r="A7" s="24"/>
      <c r="E7" s="159"/>
      <c r="F7" s="159"/>
      <c r="G7" s="159"/>
      <c r="H7" s="65"/>
      <c r="I7" s="92"/>
      <c r="J7" s="92"/>
      <c r="K7" s="92"/>
      <c r="L7" s="92"/>
    </row>
    <row r="8" spans="1:12">
      <c r="B8" s="4"/>
      <c r="C8" s="161"/>
      <c r="D8" s="161"/>
      <c r="F8" s="160"/>
    </row>
    <row r="9" spans="1:12" ht="20.100000000000001" customHeight="1">
      <c r="A9" s="63"/>
      <c r="B9" s="378"/>
      <c r="C9" s="378"/>
      <c r="D9" s="378"/>
      <c r="E9" s="378"/>
      <c r="F9" s="145"/>
      <c r="G9" s="200" t="s">
        <v>570</v>
      </c>
      <c r="H9" s="131" t="s">
        <v>176</v>
      </c>
    </row>
    <row r="10" spans="1:12" ht="20.100000000000001" customHeight="1">
      <c r="A10" s="67" t="s">
        <v>14</v>
      </c>
      <c r="B10" s="373" t="s">
        <v>418</v>
      </c>
      <c r="C10" s="373"/>
      <c r="D10" s="373"/>
      <c r="E10" s="373"/>
      <c r="F10" s="146"/>
      <c r="G10" s="147" t="s">
        <v>109</v>
      </c>
      <c r="H10" s="131">
        <v>3357731</v>
      </c>
    </row>
    <row r="11" spans="1:12" ht="20.100000000000001" customHeight="1">
      <c r="A11" s="63" t="s">
        <v>15</v>
      </c>
      <c r="B11" s="378" t="s">
        <v>419</v>
      </c>
      <c r="C11" s="378"/>
      <c r="D11" s="378"/>
      <c r="E11" s="378"/>
      <c r="F11" s="145"/>
      <c r="G11" s="147" t="s">
        <v>108</v>
      </c>
      <c r="H11" s="131">
        <v>150</v>
      </c>
    </row>
    <row r="12" spans="1:12" ht="20.100000000000001" customHeight="1">
      <c r="A12" s="63" t="s">
        <v>20</v>
      </c>
      <c r="B12" s="378" t="s">
        <v>420</v>
      </c>
      <c r="C12" s="378"/>
      <c r="D12" s="378"/>
      <c r="E12" s="378"/>
      <c r="F12" s="145"/>
      <c r="G12" s="147" t="s">
        <v>107</v>
      </c>
      <c r="H12" s="131">
        <v>7410136300</v>
      </c>
    </row>
    <row r="13" spans="1:12" ht="20.100000000000001" customHeight="1">
      <c r="A13" s="67" t="s">
        <v>555</v>
      </c>
      <c r="B13" s="378" t="s">
        <v>421</v>
      </c>
      <c r="C13" s="378"/>
      <c r="D13" s="378"/>
      <c r="E13" s="378"/>
      <c r="F13" s="146"/>
      <c r="G13" s="147" t="s">
        <v>9</v>
      </c>
      <c r="H13" s="131">
        <v>1009</v>
      </c>
    </row>
    <row r="14" spans="1:12" ht="20.100000000000001" customHeight="1">
      <c r="A14" s="67" t="s">
        <v>17</v>
      </c>
      <c r="B14" s="378" t="s">
        <v>422</v>
      </c>
      <c r="C14" s="378"/>
      <c r="D14" s="378"/>
      <c r="E14" s="378"/>
      <c r="F14" s="146"/>
      <c r="G14" s="147" t="s">
        <v>8</v>
      </c>
      <c r="H14" s="131">
        <v>90110</v>
      </c>
    </row>
    <row r="15" spans="1:12" ht="20.100000000000001" customHeight="1">
      <c r="A15" s="67" t="s">
        <v>16</v>
      </c>
      <c r="B15" s="378" t="s">
        <v>423</v>
      </c>
      <c r="C15" s="378"/>
      <c r="D15" s="378"/>
      <c r="E15" s="378"/>
      <c r="F15" s="146"/>
      <c r="G15" s="147" t="s">
        <v>10</v>
      </c>
      <c r="H15" s="131" t="s">
        <v>424</v>
      </c>
    </row>
    <row r="16" spans="1:12" ht="20.100000000000001" customHeight="1">
      <c r="A16" s="67" t="s">
        <v>374</v>
      </c>
      <c r="B16" s="378" t="s">
        <v>425</v>
      </c>
      <c r="C16" s="378"/>
      <c r="D16" s="378"/>
      <c r="E16" s="378"/>
      <c r="F16" s="386" t="s">
        <v>133</v>
      </c>
      <c r="G16" s="387"/>
      <c r="H16" s="12"/>
    </row>
    <row r="17" spans="1:8" ht="20.100000000000001" customHeight="1">
      <c r="A17" s="67" t="s">
        <v>21</v>
      </c>
      <c r="B17" s="378" t="s">
        <v>426</v>
      </c>
      <c r="C17" s="378"/>
      <c r="D17" s="378"/>
      <c r="E17" s="378"/>
      <c r="F17" s="386" t="s">
        <v>134</v>
      </c>
      <c r="G17" s="388"/>
      <c r="H17" s="12"/>
    </row>
    <row r="18" spans="1:8" ht="20.100000000000001" customHeight="1">
      <c r="A18" s="67" t="s">
        <v>90</v>
      </c>
      <c r="B18" s="383" t="s">
        <v>562</v>
      </c>
      <c r="C18" s="383"/>
      <c r="D18" s="383"/>
      <c r="E18" s="383"/>
      <c r="F18" s="148"/>
      <c r="G18" s="148"/>
      <c r="H18" s="68"/>
    </row>
    <row r="19" spans="1:8" ht="20.100000000000001" customHeight="1">
      <c r="A19" s="63" t="s">
        <v>11</v>
      </c>
      <c r="B19" s="378" t="s">
        <v>427</v>
      </c>
      <c r="C19" s="378"/>
      <c r="D19" s="378"/>
      <c r="E19" s="378"/>
      <c r="F19" s="149"/>
      <c r="G19" s="149"/>
      <c r="H19" s="64"/>
    </row>
    <row r="20" spans="1:8" ht="20.100000000000001" customHeight="1">
      <c r="A20" s="67" t="s">
        <v>12</v>
      </c>
      <c r="B20" s="378" t="s">
        <v>428</v>
      </c>
      <c r="C20" s="378"/>
      <c r="D20" s="378"/>
      <c r="E20" s="378"/>
      <c r="F20" s="148"/>
      <c r="G20" s="148"/>
      <c r="H20" s="68"/>
    </row>
    <row r="21" spans="1:8" ht="20.100000000000001" customHeight="1">
      <c r="A21" s="63" t="s">
        <v>13</v>
      </c>
      <c r="B21" s="373" t="s">
        <v>429</v>
      </c>
      <c r="C21" s="373"/>
      <c r="D21" s="373"/>
      <c r="E21" s="373"/>
      <c r="F21" s="149"/>
      <c r="G21" s="149"/>
      <c r="H21" s="64"/>
    </row>
    <row r="22" spans="1:8" ht="19.5" customHeight="1">
      <c r="A22" s="65"/>
      <c r="B22" s="3"/>
      <c r="C22" s="155"/>
      <c r="D22" s="155"/>
      <c r="E22" s="155"/>
      <c r="F22" s="155"/>
      <c r="G22" s="155"/>
      <c r="H22" s="3"/>
    </row>
    <row r="23" spans="1:8" ht="19.5" customHeight="1">
      <c r="A23" s="379" t="s">
        <v>159</v>
      </c>
      <c r="B23" s="379"/>
      <c r="C23" s="379"/>
      <c r="D23" s="379"/>
      <c r="E23" s="379"/>
      <c r="F23" s="379"/>
      <c r="G23" s="379"/>
      <c r="H23" s="379"/>
    </row>
    <row r="24" spans="1:8">
      <c r="A24" s="379" t="s">
        <v>160</v>
      </c>
      <c r="B24" s="379"/>
      <c r="C24" s="379"/>
      <c r="D24" s="379"/>
      <c r="E24" s="379"/>
      <c r="F24" s="379"/>
      <c r="G24" s="379"/>
      <c r="H24" s="379"/>
    </row>
    <row r="25" spans="1:8" ht="22.8">
      <c r="A25" s="389" t="s">
        <v>561</v>
      </c>
      <c r="B25" s="389"/>
      <c r="C25" s="389"/>
      <c r="D25" s="389"/>
      <c r="E25" s="389"/>
      <c r="F25" s="389"/>
      <c r="G25" s="389"/>
      <c r="H25" s="389"/>
    </row>
    <row r="26" spans="1:8">
      <c r="A26" s="385" t="s">
        <v>161</v>
      </c>
      <c r="B26" s="385"/>
      <c r="C26" s="385"/>
      <c r="D26" s="385"/>
      <c r="E26" s="385"/>
      <c r="F26" s="385"/>
      <c r="G26" s="385"/>
      <c r="H26" s="385"/>
    </row>
    <row r="27" spans="1:8" ht="9" customHeight="1">
      <c r="A27" s="13"/>
      <c r="B27" s="13"/>
      <c r="C27" s="49"/>
      <c r="D27" s="49"/>
      <c r="E27" s="49"/>
      <c r="F27" s="49"/>
      <c r="G27" s="49"/>
      <c r="H27" s="13"/>
    </row>
    <row r="28" spans="1:8">
      <c r="A28" s="379" t="s">
        <v>140</v>
      </c>
      <c r="B28" s="379"/>
      <c r="C28" s="379"/>
      <c r="D28" s="379"/>
      <c r="E28" s="379"/>
      <c r="F28" s="379"/>
      <c r="G28" s="379"/>
      <c r="H28" s="379"/>
    </row>
    <row r="29" spans="1:8" ht="12" customHeight="1">
      <c r="B29" s="26"/>
      <c r="C29" s="162"/>
      <c r="D29" s="162"/>
      <c r="E29" s="162"/>
      <c r="F29" s="162"/>
      <c r="G29" s="162"/>
      <c r="H29" s="26"/>
    </row>
    <row r="30" spans="1:8" ht="43.5" customHeight="1">
      <c r="A30" s="384" t="s">
        <v>192</v>
      </c>
      <c r="B30" s="382" t="s">
        <v>18</v>
      </c>
      <c r="C30" s="380" t="s">
        <v>156</v>
      </c>
      <c r="D30" s="380"/>
      <c r="E30" s="381" t="s">
        <v>563</v>
      </c>
      <c r="F30" s="381"/>
      <c r="G30" s="381"/>
      <c r="H30" s="381"/>
    </row>
    <row r="31" spans="1:8" ht="44.25" customHeight="1">
      <c r="A31" s="384"/>
      <c r="B31" s="382"/>
      <c r="C31" s="137" t="s">
        <v>179</v>
      </c>
      <c r="D31" s="137" t="s">
        <v>180</v>
      </c>
      <c r="E31" s="163" t="s">
        <v>181</v>
      </c>
      <c r="F31" s="163" t="s">
        <v>168</v>
      </c>
      <c r="G31" s="163" t="s">
        <v>187</v>
      </c>
      <c r="H31" s="61" t="s">
        <v>188</v>
      </c>
    </row>
    <row r="32" spans="1:8" s="181" customFormat="1" ht="18.600000000000001" thickBot="1">
      <c r="A32" s="179">
        <v>1</v>
      </c>
      <c r="B32" s="180">
        <v>2</v>
      </c>
      <c r="C32" s="179">
        <v>3</v>
      </c>
      <c r="D32" s="180">
        <v>4</v>
      </c>
      <c r="E32" s="179">
        <v>5</v>
      </c>
      <c r="F32" s="180">
        <v>6</v>
      </c>
      <c r="G32" s="179">
        <v>7</v>
      </c>
      <c r="H32" s="180">
        <v>8</v>
      </c>
    </row>
    <row r="33" spans="1:8" s="5" customFormat="1" thickBot="1">
      <c r="A33" s="359" t="s">
        <v>83</v>
      </c>
      <c r="B33" s="360"/>
      <c r="C33" s="360"/>
      <c r="D33" s="360"/>
      <c r="E33" s="360"/>
      <c r="F33" s="360"/>
      <c r="G33" s="360"/>
      <c r="H33" s="361"/>
    </row>
    <row r="34" spans="1:8" s="5" customFormat="1" ht="20.100000000000001" customHeight="1">
      <c r="A34" s="93" t="s">
        <v>141</v>
      </c>
      <c r="B34" s="90">
        <v>1000</v>
      </c>
      <c r="C34" s="164">
        <f>'I. Фін результат'!C7</f>
        <v>11971</v>
      </c>
      <c r="D34" s="164">
        <f>'I. Фін результат'!D7</f>
        <v>13490</v>
      </c>
      <c r="E34" s="164">
        <f>'I. Фін результат'!E7</f>
        <v>13950.7</v>
      </c>
      <c r="F34" s="164">
        <f>'I. Фін результат'!F7</f>
        <v>13490</v>
      </c>
      <c r="G34" s="164">
        <f>F34-E34</f>
        <v>-460.70000000000073</v>
      </c>
      <c r="H34" s="121">
        <f>(F34/E34)*100</f>
        <v>96.697656748406885</v>
      </c>
    </row>
    <row r="35" spans="1:8" s="5" customFormat="1" ht="20.100000000000001" customHeight="1">
      <c r="A35" s="73" t="s">
        <v>125</v>
      </c>
      <c r="B35" s="7">
        <v>1010</v>
      </c>
      <c r="C35" s="164">
        <f>'I. Фін результат'!C8</f>
        <v>10341.000000000002</v>
      </c>
      <c r="D35" s="164">
        <f>'I. Фін результат'!D8</f>
        <v>11444.999999999996</v>
      </c>
      <c r="E35" s="164">
        <f>'I. Фін результат'!E8</f>
        <v>11665.4</v>
      </c>
      <c r="F35" s="164">
        <f>'I. Фін результат'!F8</f>
        <v>11444.999999999996</v>
      </c>
      <c r="G35" s="137">
        <f>F35-E35</f>
        <v>-220.40000000000327</v>
      </c>
      <c r="H35" s="121">
        <f t="shared" ref="H35:H80" si="0">(F35/E35)*100</f>
        <v>98.110652013647169</v>
      </c>
    </row>
    <row r="36" spans="1:8" s="5" customFormat="1" ht="20.100000000000001" customHeight="1">
      <c r="A36" s="74" t="s">
        <v>182</v>
      </c>
      <c r="B36" s="7">
        <v>1020</v>
      </c>
      <c r="C36" s="150">
        <f>C34-C35</f>
        <v>1629.9999999999982</v>
      </c>
      <c r="D36" s="150">
        <f t="shared" ref="D36:F36" si="1">D34-D35</f>
        <v>2045.0000000000036</v>
      </c>
      <c r="E36" s="150">
        <f t="shared" si="1"/>
        <v>2285.3000000000011</v>
      </c>
      <c r="F36" s="150">
        <f t="shared" si="1"/>
        <v>2045.0000000000036</v>
      </c>
      <c r="G36" s="165">
        <f t="shared" ref="G36:G80" si="2">F36-E36</f>
        <v>-240.29999999999745</v>
      </c>
      <c r="H36" s="122">
        <f t="shared" si="0"/>
        <v>89.484969150658671</v>
      </c>
    </row>
    <row r="37" spans="1:8" s="5" customFormat="1" ht="20.100000000000001" customHeight="1">
      <c r="A37" s="73" t="s">
        <v>151</v>
      </c>
      <c r="B37" s="9">
        <v>1030</v>
      </c>
      <c r="C37" s="164">
        <f>'I. Фін результат'!C24</f>
        <v>1188.9999999999998</v>
      </c>
      <c r="D37" s="164">
        <f>'I. Фін результат'!D24</f>
        <v>1362.9999999999998</v>
      </c>
      <c r="E37" s="164">
        <f>'I. Фін результат'!E24</f>
        <v>1527</v>
      </c>
      <c r="F37" s="164">
        <f>'I. Фін результат'!F24</f>
        <v>1362.9999999999998</v>
      </c>
      <c r="G37" s="137">
        <f t="shared" si="2"/>
        <v>-164.00000000000023</v>
      </c>
      <c r="H37" s="121">
        <f t="shared" si="0"/>
        <v>89.259986902423037</v>
      </c>
    </row>
    <row r="38" spans="1:8" s="5" customFormat="1" ht="20.100000000000001" customHeight="1">
      <c r="A38" s="8" t="s">
        <v>92</v>
      </c>
      <c r="B38" s="9">
        <v>1031</v>
      </c>
      <c r="C38" s="164">
        <f>'I. Фін результат'!C25</f>
        <v>36.9</v>
      </c>
      <c r="D38" s="164">
        <f>'I. Фін результат'!D25</f>
        <v>12.7</v>
      </c>
      <c r="E38" s="164">
        <f>'I. Фін результат'!E25</f>
        <v>30</v>
      </c>
      <c r="F38" s="164">
        <f>'I. Фін результат'!F25</f>
        <v>12.7</v>
      </c>
      <c r="G38" s="137">
        <f t="shared" si="2"/>
        <v>-17.3</v>
      </c>
      <c r="H38" s="121">
        <f t="shared" si="0"/>
        <v>42.333333333333329</v>
      </c>
    </row>
    <row r="39" spans="1:8" s="5" customFormat="1" ht="20.100000000000001" customHeight="1">
      <c r="A39" s="8" t="s">
        <v>143</v>
      </c>
      <c r="B39" s="9">
        <v>1032</v>
      </c>
      <c r="C39" s="164">
        <f>'I. Фін результат'!C26</f>
        <v>0</v>
      </c>
      <c r="D39" s="164">
        <f>'I. Фін результат'!D26</f>
        <v>0</v>
      </c>
      <c r="E39" s="164">
        <f>'I. Фін результат'!E26</f>
        <v>0</v>
      </c>
      <c r="F39" s="164">
        <f>'I. Фін результат'!F26</f>
        <v>0</v>
      </c>
      <c r="G39" s="137">
        <f t="shared" si="2"/>
        <v>0</v>
      </c>
      <c r="H39" s="121"/>
    </row>
    <row r="40" spans="1:8" s="5" customFormat="1" ht="20.100000000000001" customHeight="1">
      <c r="A40" s="8" t="s">
        <v>55</v>
      </c>
      <c r="B40" s="9">
        <v>1033</v>
      </c>
      <c r="C40" s="164">
        <f>'I. Фін результат'!C27</f>
        <v>0</v>
      </c>
      <c r="D40" s="164">
        <f>'I. Фін результат'!D27</f>
        <v>0</v>
      </c>
      <c r="E40" s="164">
        <f>'I. Фін результат'!E27</f>
        <v>0</v>
      </c>
      <c r="F40" s="164">
        <f>'I. Фін результат'!F27</f>
        <v>0</v>
      </c>
      <c r="G40" s="137">
        <f t="shared" si="2"/>
        <v>0</v>
      </c>
      <c r="H40" s="121"/>
    </row>
    <row r="41" spans="1:8" s="5" customFormat="1" ht="20.100000000000001" customHeight="1">
      <c r="A41" s="8" t="s">
        <v>22</v>
      </c>
      <c r="B41" s="9">
        <v>1034</v>
      </c>
      <c r="C41" s="164">
        <f>'I. Фін результат'!C28</f>
        <v>0</v>
      </c>
      <c r="D41" s="164">
        <f>'I. Фін результат'!D28</f>
        <v>0</v>
      </c>
      <c r="E41" s="164">
        <f>'I. Фін результат'!E28</f>
        <v>0</v>
      </c>
      <c r="F41" s="164">
        <f>'I. Фін результат'!F28</f>
        <v>0</v>
      </c>
      <c r="G41" s="137">
        <f t="shared" si="2"/>
        <v>0</v>
      </c>
      <c r="H41" s="121"/>
    </row>
    <row r="42" spans="1:8" s="5" customFormat="1" ht="20.100000000000001" customHeight="1">
      <c r="A42" s="8" t="s">
        <v>23</v>
      </c>
      <c r="B42" s="9">
        <v>1035</v>
      </c>
      <c r="C42" s="164">
        <f>'I. Фін результат'!C29</f>
        <v>0</v>
      </c>
      <c r="D42" s="164">
        <f>'I. Фін результат'!D29</f>
        <v>0</v>
      </c>
      <c r="E42" s="164">
        <f>'I. Фін результат'!E29</f>
        <v>0</v>
      </c>
      <c r="F42" s="164">
        <f>'I. Фін результат'!F29</f>
        <v>0</v>
      </c>
      <c r="G42" s="137">
        <f t="shared" si="2"/>
        <v>0</v>
      </c>
      <c r="H42" s="121"/>
    </row>
    <row r="43" spans="1:8" s="5" customFormat="1" ht="20.100000000000001" customHeight="1">
      <c r="A43" s="73" t="s">
        <v>114</v>
      </c>
      <c r="B43" s="7">
        <v>1060</v>
      </c>
      <c r="C43" s="164">
        <f>'I. Фін результат'!C53</f>
        <v>0</v>
      </c>
      <c r="D43" s="164">
        <f>'I. Фін результат'!D53</f>
        <v>0</v>
      </c>
      <c r="E43" s="164">
        <f>'I. Фін результат'!E53</f>
        <v>0</v>
      </c>
      <c r="F43" s="164">
        <f>'I. Фін результат'!F53</f>
        <v>0</v>
      </c>
      <c r="G43" s="137">
        <f t="shared" si="2"/>
        <v>0</v>
      </c>
      <c r="H43" s="121"/>
    </row>
    <row r="44" spans="1:8" s="142" customFormat="1" ht="20.100000000000001" customHeight="1">
      <c r="A44" s="141" t="s">
        <v>229</v>
      </c>
      <c r="B44" s="11">
        <v>1070</v>
      </c>
      <c r="C44" s="169">
        <f>'I. Фін результат'!C61</f>
        <v>66</v>
      </c>
      <c r="D44" s="169">
        <f>'I. Фін результат'!D61</f>
        <v>53</v>
      </c>
      <c r="E44" s="169">
        <f>'I. Фін результат'!E61</f>
        <v>39</v>
      </c>
      <c r="F44" s="169">
        <f>'I. Фін результат'!F61</f>
        <v>53</v>
      </c>
      <c r="G44" s="165">
        <f t="shared" si="2"/>
        <v>14</v>
      </c>
      <c r="H44" s="122">
        <f t="shared" si="0"/>
        <v>135.89743589743591</v>
      </c>
    </row>
    <row r="45" spans="1:8" s="5" customFormat="1" ht="20.100000000000001" customHeight="1">
      <c r="A45" s="8" t="s">
        <v>148</v>
      </c>
      <c r="B45" s="9">
        <v>1071</v>
      </c>
      <c r="C45" s="164">
        <f>'I. Фін результат'!C62</f>
        <v>0</v>
      </c>
      <c r="D45" s="164">
        <f>'I. Фін результат'!D62</f>
        <v>0</v>
      </c>
      <c r="E45" s="164">
        <f>'I. Фін результат'!E62</f>
        <v>0</v>
      </c>
      <c r="F45" s="164">
        <f>'I. Фін результат'!F62</f>
        <v>0</v>
      </c>
      <c r="G45" s="137">
        <f t="shared" si="2"/>
        <v>0</v>
      </c>
      <c r="H45" s="121"/>
    </row>
    <row r="46" spans="1:8" s="5" customFormat="1" ht="20.100000000000001" customHeight="1">
      <c r="A46" s="8" t="s">
        <v>230</v>
      </c>
      <c r="B46" s="9">
        <v>1072</v>
      </c>
      <c r="C46" s="164">
        <f>'I. Фін результат'!C63</f>
        <v>0</v>
      </c>
      <c r="D46" s="164">
        <f>'I. Фін результат'!D63</f>
        <v>0</v>
      </c>
      <c r="E46" s="164">
        <f>'I. Фін результат'!E63</f>
        <v>0</v>
      </c>
      <c r="F46" s="164">
        <f>'I. Фін результат'!F63</f>
        <v>0</v>
      </c>
      <c r="G46" s="137">
        <f t="shared" si="2"/>
        <v>0</v>
      </c>
      <c r="H46" s="121"/>
    </row>
    <row r="47" spans="1:8" s="142" customFormat="1" ht="20.100000000000001" customHeight="1">
      <c r="A47" s="197" t="s">
        <v>231</v>
      </c>
      <c r="B47" s="11">
        <v>1080</v>
      </c>
      <c r="C47" s="169">
        <f>'I. Фін результат'!C70</f>
        <v>9198</v>
      </c>
      <c r="D47" s="169">
        <f>'I. Фін результат'!D70</f>
        <v>921.99999999999989</v>
      </c>
      <c r="E47" s="169">
        <f>'I. Фін результат'!E70</f>
        <v>9020.7999999999993</v>
      </c>
      <c r="F47" s="169">
        <f>'I. Фін результат'!F70</f>
        <v>921.99999999999989</v>
      </c>
      <c r="G47" s="165">
        <f t="shared" si="2"/>
        <v>-8098.7999999999993</v>
      </c>
      <c r="H47" s="122">
        <f t="shared" si="0"/>
        <v>10.220822986874778</v>
      </c>
    </row>
    <row r="48" spans="1:8" s="5" customFormat="1" ht="20.100000000000001" customHeight="1">
      <c r="A48" s="8" t="s">
        <v>148</v>
      </c>
      <c r="B48" s="9">
        <v>1081</v>
      </c>
      <c r="C48" s="164">
        <f>'I. Фін результат'!C71</f>
        <v>0</v>
      </c>
      <c r="D48" s="164">
        <f>'I. Фін результат'!D71</f>
        <v>0</v>
      </c>
      <c r="E48" s="164">
        <f>'I. Фін результат'!E71</f>
        <v>0</v>
      </c>
      <c r="F48" s="164">
        <f>'I. Фін результат'!F71</f>
        <v>0</v>
      </c>
      <c r="G48" s="137">
        <f t="shared" si="2"/>
        <v>0</v>
      </c>
      <c r="H48" s="121"/>
    </row>
    <row r="49" spans="1:8" s="5" customFormat="1" ht="20.100000000000001" customHeight="1">
      <c r="A49" s="8" t="s">
        <v>232</v>
      </c>
      <c r="B49" s="9">
        <v>1082</v>
      </c>
      <c r="C49" s="164">
        <f>'I. Фін результат'!C72</f>
        <v>0</v>
      </c>
      <c r="D49" s="164">
        <f>'I. Фін результат'!D72</f>
        <v>0</v>
      </c>
      <c r="E49" s="164">
        <f>'I. Фін результат'!E72</f>
        <v>0</v>
      </c>
      <c r="F49" s="164">
        <f>'I. Фін результат'!F72</f>
        <v>0</v>
      </c>
      <c r="G49" s="137">
        <f t="shared" si="2"/>
        <v>0</v>
      </c>
      <c r="H49" s="121"/>
    </row>
    <row r="50" spans="1:8" s="5" customFormat="1" ht="20.100000000000001" customHeight="1">
      <c r="A50" s="10" t="s">
        <v>4</v>
      </c>
      <c r="B50" s="7">
        <v>1100</v>
      </c>
      <c r="C50" s="150">
        <f>C36-C37+C44-C47</f>
        <v>-8691.0000000000018</v>
      </c>
      <c r="D50" s="150">
        <f t="shared" ref="D50:F50" si="3">D36-D37+D44-D47</f>
        <v>-186.99999999999602</v>
      </c>
      <c r="E50" s="150">
        <f t="shared" si="3"/>
        <v>-8223.4999999999982</v>
      </c>
      <c r="F50" s="150">
        <f t="shared" si="3"/>
        <v>-186.99999999999602</v>
      </c>
      <c r="G50" s="165">
        <f t="shared" si="2"/>
        <v>8036.5000000000018</v>
      </c>
      <c r="H50" s="122">
        <f t="shared" si="0"/>
        <v>2.2739709369489396</v>
      </c>
    </row>
    <row r="51" spans="1:8" s="5" customFormat="1" ht="20.100000000000001" customHeight="1">
      <c r="A51" s="75" t="s">
        <v>115</v>
      </c>
      <c r="B51" s="7">
        <v>1310</v>
      </c>
      <c r="C51" s="165">
        <f>'I. Фін результат'!C117</f>
        <v>517.99999999999818</v>
      </c>
      <c r="D51" s="165">
        <f>'I. Фін результат'!D117</f>
        <v>355.00000000000398</v>
      </c>
      <c r="E51" s="165">
        <f>'I. Фін результат'!E117</f>
        <v>866.50000000000182</v>
      </c>
      <c r="F51" s="165">
        <f>'I. Фін результат'!F117</f>
        <v>355.00000000000398</v>
      </c>
      <c r="G51" s="165">
        <f t="shared" si="2"/>
        <v>-511.49999999999784</v>
      </c>
      <c r="H51" s="122">
        <f t="shared" si="0"/>
        <v>40.969417195614916</v>
      </c>
    </row>
    <row r="52" spans="1:8" s="5" customFormat="1">
      <c r="A52" s="75" t="s">
        <v>153</v>
      </c>
      <c r="B52" s="7">
        <v>5010</v>
      </c>
      <c r="C52" s="152">
        <f>(C51/C34)*100</f>
        <v>4.3271238827165499</v>
      </c>
      <c r="D52" s="152">
        <f t="shared" ref="D52:F52" si="4">(D51/D34)*100</f>
        <v>2.6315789473684505</v>
      </c>
      <c r="E52" s="152">
        <f t="shared" si="4"/>
        <v>6.2111578630463109</v>
      </c>
      <c r="F52" s="152">
        <f t="shared" si="4"/>
        <v>2.6315789473684505</v>
      </c>
      <c r="G52" s="165">
        <f t="shared" si="2"/>
        <v>-3.5795789156778604</v>
      </c>
      <c r="H52" s="122">
        <f t="shared" si="0"/>
        <v>42.368572903696446</v>
      </c>
    </row>
    <row r="53" spans="1:8" s="5" customFormat="1" ht="20.100000000000001" customHeight="1">
      <c r="A53" s="8" t="s">
        <v>233</v>
      </c>
      <c r="B53" s="9">
        <v>1110</v>
      </c>
      <c r="C53" s="164">
        <f>'I. Фін результат'!C87</f>
        <v>0</v>
      </c>
      <c r="D53" s="164">
        <f>'I. Фін результат'!D87</f>
        <v>0</v>
      </c>
      <c r="E53" s="164">
        <f>'I. Фін результат'!E87</f>
        <v>0</v>
      </c>
      <c r="F53" s="164">
        <f>'I. Фін результат'!F87</f>
        <v>0</v>
      </c>
      <c r="G53" s="137">
        <f t="shared" si="2"/>
        <v>0</v>
      </c>
      <c r="H53" s="121"/>
    </row>
    <row r="54" spans="1:8" s="5" customFormat="1">
      <c r="A54" s="8" t="s">
        <v>234</v>
      </c>
      <c r="B54" s="9">
        <v>1120</v>
      </c>
      <c r="C54" s="164">
        <f>'I. Фін результат'!C88</f>
        <v>0</v>
      </c>
      <c r="D54" s="164">
        <f>'I. Фін результат'!D88</f>
        <v>0</v>
      </c>
      <c r="E54" s="164">
        <f>'I. Фін результат'!E88</f>
        <v>0</v>
      </c>
      <c r="F54" s="164">
        <f>'I. Фін результат'!F88</f>
        <v>0</v>
      </c>
      <c r="G54" s="137">
        <f t="shared" si="2"/>
        <v>0</v>
      </c>
      <c r="H54" s="121"/>
    </row>
    <row r="55" spans="1:8" s="5" customFormat="1" ht="20.100000000000001" customHeight="1">
      <c r="A55" s="8" t="s">
        <v>235</v>
      </c>
      <c r="B55" s="9">
        <v>1130</v>
      </c>
      <c r="C55" s="164">
        <f>'I. Фін результат'!C89</f>
        <v>0</v>
      </c>
      <c r="D55" s="164">
        <f>'I. Фін результат'!D89</f>
        <v>0</v>
      </c>
      <c r="E55" s="164">
        <f>'I. Фін результат'!E89</f>
        <v>0</v>
      </c>
      <c r="F55" s="164">
        <f>'I. Фін результат'!F89</f>
        <v>0</v>
      </c>
      <c r="G55" s="137">
        <f t="shared" si="2"/>
        <v>0</v>
      </c>
      <c r="H55" s="121"/>
    </row>
    <row r="56" spans="1:8" s="5" customFormat="1" ht="20.100000000000001" customHeight="1">
      <c r="A56" s="8" t="s">
        <v>236</v>
      </c>
      <c r="B56" s="9">
        <v>1140</v>
      </c>
      <c r="C56" s="164">
        <f>'I. Фін результат'!C90</f>
        <v>0</v>
      </c>
      <c r="D56" s="164">
        <f>'I. Фін результат'!D90</f>
        <v>1</v>
      </c>
      <c r="E56" s="164">
        <f>'I. Фін результат'!E90</f>
        <v>0</v>
      </c>
      <c r="F56" s="164">
        <f>'I. Фін результат'!F90</f>
        <v>1</v>
      </c>
      <c r="G56" s="137">
        <f t="shared" si="2"/>
        <v>1</v>
      </c>
      <c r="H56" s="121"/>
    </row>
    <row r="57" spans="1:8" s="142" customFormat="1" ht="20.100000000000001" customHeight="1">
      <c r="A57" s="141" t="s">
        <v>253</v>
      </c>
      <c r="B57" s="11">
        <v>1150</v>
      </c>
      <c r="C57" s="169">
        <f>'I. Фін результат'!C91</f>
        <v>8988</v>
      </c>
      <c r="D57" s="169">
        <f>'I. Фін результат'!D91</f>
        <v>250</v>
      </c>
      <c r="E57" s="169">
        <f>'I. Фін результат'!E91</f>
        <v>8803</v>
      </c>
      <c r="F57" s="169">
        <f>'I. Фін результат'!F91</f>
        <v>250</v>
      </c>
      <c r="G57" s="165">
        <f t="shared" si="2"/>
        <v>-8553</v>
      </c>
      <c r="H57" s="122">
        <f t="shared" si="0"/>
        <v>2.8399409292286721</v>
      </c>
    </row>
    <row r="58" spans="1:8" s="5" customFormat="1" ht="20.100000000000001" customHeight="1">
      <c r="A58" s="8" t="s">
        <v>148</v>
      </c>
      <c r="B58" s="9">
        <v>1151</v>
      </c>
      <c r="C58" s="164">
        <f>'I. Фін результат'!C92</f>
        <v>0</v>
      </c>
      <c r="D58" s="164">
        <f>'I. Фін результат'!D92</f>
        <v>0</v>
      </c>
      <c r="E58" s="164">
        <f>'I. Фін результат'!E92</f>
        <v>0</v>
      </c>
      <c r="F58" s="164">
        <f>'I. Фін результат'!F92</f>
        <v>0</v>
      </c>
      <c r="G58" s="137">
        <f t="shared" si="2"/>
        <v>0</v>
      </c>
      <c r="H58" s="121"/>
    </row>
    <row r="59" spans="1:8" s="5" customFormat="1" ht="20.100000000000001" customHeight="1">
      <c r="A59" s="8" t="s">
        <v>255</v>
      </c>
      <c r="B59" s="9">
        <v>1160</v>
      </c>
      <c r="C59" s="164">
        <f>'I. Фін результат'!C96</f>
        <v>0</v>
      </c>
      <c r="D59" s="164">
        <f>'I. Фін результат'!D96</f>
        <v>0</v>
      </c>
      <c r="E59" s="164">
        <f>'I. Фін результат'!E96</f>
        <v>0</v>
      </c>
      <c r="F59" s="164">
        <f>'I. Фін результат'!F96</f>
        <v>0</v>
      </c>
      <c r="G59" s="137">
        <f t="shared" si="2"/>
        <v>0</v>
      </c>
      <c r="H59" s="121"/>
    </row>
    <row r="60" spans="1:8" s="5" customFormat="1" ht="20.100000000000001" customHeight="1">
      <c r="A60" s="8" t="s">
        <v>148</v>
      </c>
      <c r="B60" s="9">
        <v>1161</v>
      </c>
      <c r="C60" s="164">
        <f>'I. Фін результат'!C97</f>
        <v>0</v>
      </c>
      <c r="D60" s="164">
        <f>'I. Фін результат'!D97</f>
        <v>0</v>
      </c>
      <c r="E60" s="164">
        <f>'I. Фін результат'!E97</f>
        <v>0</v>
      </c>
      <c r="F60" s="164">
        <f>'I. Фін результат'!F97</f>
        <v>0</v>
      </c>
      <c r="G60" s="137">
        <f t="shared" si="2"/>
        <v>0</v>
      </c>
      <c r="H60" s="121"/>
    </row>
    <row r="61" spans="1:8" s="5" customFormat="1" ht="20.100000000000001" customHeight="1">
      <c r="A61" s="75" t="s">
        <v>82</v>
      </c>
      <c r="B61" s="91">
        <v>1170</v>
      </c>
      <c r="C61" s="150">
        <f>'I. Фін результат'!C99</f>
        <v>296.99999999999818</v>
      </c>
      <c r="D61" s="150">
        <f>'I. Фін результат'!D99</f>
        <v>62.000000000003979</v>
      </c>
      <c r="E61" s="150">
        <f>'I. Фін результат'!E99</f>
        <v>579.50000000000182</v>
      </c>
      <c r="F61" s="150">
        <f>'I. Фін результат'!F99</f>
        <v>62.000000000003979</v>
      </c>
      <c r="G61" s="165">
        <f t="shared" si="2"/>
        <v>-517.49999999999784</v>
      </c>
      <c r="H61" s="122">
        <f t="shared" si="0"/>
        <v>10.698878343400136</v>
      </c>
    </row>
    <row r="62" spans="1:8" s="5" customFormat="1" ht="20.100000000000001" customHeight="1">
      <c r="A62" s="8" t="s">
        <v>246</v>
      </c>
      <c r="B62" s="7">
        <v>1180</v>
      </c>
      <c r="C62" s="164">
        <f>'I. Фін результат'!C100</f>
        <v>54</v>
      </c>
      <c r="D62" s="164">
        <f>'I. Фін результат'!D100</f>
        <v>13</v>
      </c>
      <c r="E62" s="164">
        <f>'I. Фін результат'!E100</f>
        <v>170</v>
      </c>
      <c r="F62" s="164">
        <f>'I. Фін результат'!F100</f>
        <v>13</v>
      </c>
      <c r="G62" s="137">
        <f t="shared" si="2"/>
        <v>-157</v>
      </c>
      <c r="H62" s="121"/>
    </row>
    <row r="63" spans="1:8" s="5" customFormat="1" ht="20.100000000000001" customHeight="1">
      <c r="A63" s="8" t="s">
        <v>247</v>
      </c>
      <c r="B63" s="7">
        <v>1181</v>
      </c>
      <c r="C63" s="164">
        <v>0</v>
      </c>
      <c r="D63" s="164">
        <v>0</v>
      </c>
      <c r="E63" s="164">
        <v>0</v>
      </c>
      <c r="F63" s="164">
        <v>0</v>
      </c>
      <c r="G63" s="137">
        <f t="shared" si="2"/>
        <v>0</v>
      </c>
      <c r="H63" s="121"/>
    </row>
    <row r="64" spans="1:8" s="5" customFormat="1" ht="20.100000000000001" customHeight="1">
      <c r="A64" s="8" t="s">
        <v>248</v>
      </c>
      <c r="B64" s="9">
        <v>1190</v>
      </c>
      <c r="C64" s="164">
        <v>0</v>
      </c>
      <c r="D64" s="164">
        <v>0</v>
      </c>
      <c r="E64" s="164">
        <v>0</v>
      </c>
      <c r="F64" s="164">
        <v>0</v>
      </c>
      <c r="G64" s="137">
        <f t="shared" si="2"/>
        <v>0</v>
      </c>
      <c r="H64" s="121"/>
    </row>
    <row r="65" spans="1:8" s="5" customFormat="1" ht="20.100000000000001" customHeight="1">
      <c r="A65" s="8" t="s">
        <v>249</v>
      </c>
      <c r="B65" s="6">
        <v>1191</v>
      </c>
      <c r="C65" s="164">
        <v>0</v>
      </c>
      <c r="D65" s="164">
        <v>0</v>
      </c>
      <c r="E65" s="164">
        <v>0</v>
      </c>
      <c r="F65" s="164">
        <v>0</v>
      </c>
      <c r="G65" s="137">
        <f t="shared" si="2"/>
        <v>0</v>
      </c>
      <c r="H65" s="121"/>
    </row>
    <row r="66" spans="1:8" s="5" customFormat="1" ht="20.100000000000001" customHeight="1">
      <c r="A66" s="10" t="s">
        <v>284</v>
      </c>
      <c r="B66" s="9">
        <v>1200</v>
      </c>
      <c r="C66" s="150">
        <f>C61-C62</f>
        <v>242.99999999999818</v>
      </c>
      <c r="D66" s="150">
        <f>D61-D62</f>
        <v>49.000000000003979</v>
      </c>
      <c r="E66" s="150">
        <f>E61-E62</f>
        <v>409.50000000000182</v>
      </c>
      <c r="F66" s="150">
        <f>F61-F62</f>
        <v>49.000000000003979</v>
      </c>
      <c r="G66" s="165">
        <f t="shared" si="2"/>
        <v>-360.49999999999784</v>
      </c>
      <c r="H66" s="122">
        <f t="shared" si="0"/>
        <v>11.965811965812884</v>
      </c>
    </row>
    <row r="67" spans="1:8" s="5" customFormat="1" ht="20.100000000000001" customHeight="1">
      <c r="A67" s="8" t="s">
        <v>410</v>
      </c>
      <c r="B67" s="6">
        <v>1201</v>
      </c>
      <c r="C67" s="164">
        <f>'I. Фін результат'!C105</f>
        <v>242.99999999999818</v>
      </c>
      <c r="D67" s="164">
        <f>'I. Фін результат'!D105</f>
        <v>49.000000000003979</v>
      </c>
      <c r="E67" s="164">
        <f>'I. Фін результат'!E105</f>
        <v>409.50000000000182</v>
      </c>
      <c r="F67" s="164">
        <f>F66</f>
        <v>49.000000000003979</v>
      </c>
      <c r="G67" s="137">
        <f t="shared" si="2"/>
        <v>-360.49999999999784</v>
      </c>
      <c r="H67" s="122">
        <f t="shared" si="0"/>
        <v>11.965811965812884</v>
      </c>
    </row>
    <row r="68" spans="1:8" s="5" customFormat="1" ht="20.100000000000001" customHeight="1">
      <c r="A68" s="8" t="s">
        <v>411</v>
      </c>
      <c r="B68" s="6">
        <v>1202</v>
      </c>
      <c r="C68" s="164">
        <f>'I. Фін результат'!C106</f>
        <v>0</v>
      </c>
      <c r="D68" s="164">
        <f>'I. Фін результат'!D106</f>
        <v>0</v>
      </c>
      <c r="E68" s="164">
        <f>'I. Фін результат'!E106</f>
        <v>0</v>
      </c>
      <c r="F68" s="164">
        <v>0</v>
      </c>
      <c r="G68" s="137"/>
      <c r="H68" s="121"/>
    </row>
    <row r="69" spans="1:8" s="5" customFormat="1" ht="20.100000000000001" customHeight="1">
      <c r="A69" s="10" t="s">
        <v>19</v>
      </c>
      <c r="B69" s="9">
        <v>1210</v>
      </c>
      <c r="C69" s="151">
        <f>SUM(C34,C44,C53,C55,C57,C63,C64)</f>
        <v>21025</v>
      </c>
      <c r="D69" s="151">
        <f>SUM(D34,D44,D53,D55,D57,D63,D64)</f>
        <v>13793</v>
      </c>
      <c r="E69" s="151">
        <f>SUM(E34,E44,E53,E55,E57,E63,E64)</f>
        <v>22792.7</v>
      </c>
      <c r="F69" s="151">
        <f>SUM(F34,F44,F53,F55,F57,F63,F64)</f>
        <v>13793</v>
      </c>
      <c r="G69" s="165">
        <f t="shared" si="2"/>
        <v>-8999.7000000000007</v>
      </c>
      <c r="H69" s="122">
        <f t="shared" si="0"/>
        <v>60.514989448376014</v>
      </c>
    </row>
    <row r="70" spans="1:8" s="5" customFormat="1" ht="20.100000000000001" customHeight="1">
      <c r="A70" s="10" t="s">
        <v>100</v>
      </c>
      <c r="B70" s="9">
        <v>1220</v>
      </c>
      <c r="C70" s="151">
        <f>SUM(C35,C37,C43,C47,C54,C56,C59,C62,C65)</f>
        <v>20782</v>
      </c>
      <c r="D70" s="151">
        <f>SUM(D35,D37,D43,D47,D54,D56,D59,D62,D65)</f>
        <v>13743.999999999996</v>
      </c>
      <c r="E70" s="151">
        <f>SUM(E35,E37,E43,E47,E54,E56,E59,E62,E65)</f>
        <v>22383.199999999997</v>
      </c>
      <c r="F70" s="151">
        <f>SUM(F35,F37,F43,F47,F54,F56,F59,F62,F65)</f>
        <v>13743.999999999996</v>
      </c>
      <c r="G70" s="165">
        <f t="shared" si="2"/>
        <v>-8639.2000000000007</v>
      </c>
      <c r="H70" s="122">
        <f t="shared" si="0"/>
        <v>61.403195253583029</v>
      </c>
    </row>
    <row r="71" spans="1:8" s="5" customFormat="1" ht="20.100000000000001" customHeight="1">
      <c r="A71" s="8" t="s">
        <v>178</v>
      </c>
      <c r="B71" s="9">
        <v>1230</v>
      </c>
      <c r="C71" s="164"/>
      <c r="D71" s="164"/>
      <c r="E71" s="164"/>
      <c r="F71" s="164"/>
      <c r="G71" s="137"/>
      <c r="H71" s="121"/>
    </row>
    <row r="72" spans="1:8" s="5" customFormat="1" ht="20.100000000000001" customHeight="1">
      <c r="A72" s="10" t="s">
        <v>155</v>
      </c>
      <c r="B72" s="9"/>
      <c r="C72" s="136"/>
      <c r="D72" s="166"/>
      <c r="E72" s="166"/>
      <c r="F72" s="166"/>
      <c r="G72" s="137"/>
      <c r="H72" s="121"/>
    </row>
    <row r="73" spans="1:8" s="5" customFormat="1" ht="20.100000000000001" customHeight="1">
      <c r="A73" s="8" t="s">
        <v>190</v>
      </c>
      <c r="B73" s="9">
        <v>1400</v>
      </c>
      <c r="C73" s="164">
        <f>'I. Фін результат'!C119</f>
        <v>4077</v>
      </c>
      <c r="D73" s="164">
        <f>'I. Фін результат'!D119</f>
        <v>4707.3</v>
      </c>
      <c r="E73" s="164">
        <f>'I. Фін результат'!E119</f>
        <v>4914.5</v>
      </c>
      <c r="F73" s="164">
        <f>'I. Фін результат'!F119</f>
        <v>4707.3</v>
      </c>
      <c r="G73" s="137">
        <f t="shared" si="2"/>
        <v>-207.19999999999982</v>
      </c>
      <c r="H73" s="121">
        <f t="shared" si="0"/>
        <v>95.783904771594266</v>
      </c>
    </row>
    <row r="74" spans="1:8" s="5" customFormat="1" ht="20.100000000000001" customHeight="1">
      <c r="A74" s="8" t="s">
        <v>191</v>
      </c>
      <c r="B74" s="37">
        <v>1401</v>
      </c>
      <c r="C74" s="164">
        <f>'I. Фін результат'!C120</f>
        <v>2622</v>
      </c>
      <c r="D74" s="164">
        <f>'I. Фін результат'!D120</f>
        <v>3387.3</v>
      </c>
      <c r="E74" s="164">
        <f>'I. Фін результат'!E120</f>
        <v>3395</v>
      </c>
      <c r="F74" s="164">
        <f>'I. Фін результат'!F120</f>
        <v>3387.3</v>
      </c>
      <c r="G74" s="137">
        <f t="shared" si="2"/>
        <v>-7.6999999999998181</v>
      </c>
      <c r="H74" s="121">
        <f t="shared" si="0"/>
        <v>99.773195876288668</v>
      </c>
    </row>
    <row r="75" spans="1:8" s="5" customFormat="1" ht="20.100000000000001" customHeight="1">
      <c r="A75" s="8" t="s">
        <v>28</v>
      </c>
      <c r="B75" s="37">
        <v>1402</v>
      </c>
      <c r="C75" s="164">
        <f>'I. Фін результат'!C121</f>
        <v>1455</v>
      </c>
      <c r="D75" s="164">
        <f>'I. Фін результат'!D121</f>
        <v>1320</v>
      </c>
      <c r="E75" s="164">
        <f>'I. Фін результат'!E121</f>
        <v>1519.5</v>
      </c>
      <c r="F75" s="164">
        <f>'I. Фін результат'!F121</f>
        <v>1320</v>
      </c>
      <c r="G75" s="137">
        <f t="shared" si="2"/>
        <v>-199.5</v>
      </c>
      <c r="H75" s="121">
        <f t="shared" si="0"/>
        <v>86.870681145113522</v>
      </c>
    </row>
    <row r="76" spans="1:8" s="5" customFormat="1" ht="20.100000000000001" customHeight="1">
      <c r="A76" s="8" t="s">
        <v>5</v>
      </c>
      <c r="B76" s="14">
        <v>1410</v>
      </c>
      <c r="C76" s="164">
        <f>'I. Фін результат'!C122</f>
        <v>5139</v>
      </c>
      <c r="D76" s="164">
        <f>'I. Фін результат'!D122</f>
        <v>5788.4</v>
      </c>
      <c r="E76" s="164">
        <f>'I. Фін результат'!E122</f>
        <v>5762.9</v>
      </c>
      <c r="F76" s="164">
        <f>'I. Фін результат'!F122</f>
        <v>5788.4</v>
      </c>
      <c r="G76" s="137">
        <f t="shared" si="2"/>
        <v>25.5</v>
      </c>
      <c r="H76" s="121">
        <f t="shared" si="0"/>
        <v>100.44248555414808</v>
      </c>
    </row>
    <row r="77" spans="1:8" s="5" customFormat="1" ht="20.100000000000001" customHeight="1">
      <c r="A77" s="8" t="s">
        <v>6</v>
      </c>
      <c r="B77" s="14">
        <v>1420</v>
      </c>
      <c r="C77" s="164">
        <f>'I. Фін результат'!C123</f>
        <v>1097</v>
      </c>
      <c r="D77" s="164">
        <f>'I. Фін результат'!D123</f>
        <v>1244.7</v>
      </c>
      <c r="E77" s="164">
        <f>'I. Фін результат'!E123</f>
        <v>1260.0999999999999</v>
      </c>
      <c r="F77" s="164">
        <f>'I. Фін результат'!F123</f>
        <v>1244.7</v>
      </c>
      <c r="G77" s="137">
        <f t="shared" si="2"/>
        <v>-15.399999999999864</v>
      </c>
      <c r="H77" s="121">
        <f t="shared" si="0"/>
        <v>98.777874771843514</v>
      </c>
    </row>
    <row r="78" spans="1:8" s="5" customFormat="1" ht="20.100000000000001" customHeight="1">
      <c r="A78" s="8" t="s">
        <v>7</v>
      </c>
      <c r="B78" s="14">
        <v>1430</v>
      </c>
      <c r="C78" s="164">
        <f>'I. Фін результат'!C124</f>
        <v>9209</v>
      </c>
      <c r="D78" s="164">
        <f>'I. Фін результат'!D124</f>
        <v>542</v>
      </c>
      <c r="E78" s="164">
        <f>'I. Фін результат'!E124</f>
        <v>9090</v>
      </c>
      <c r="F78" s="164">
        <f>'I. Фін результат'!F124</f>
        <v>542</v>
      </c>
      <c r="G78" s="137">
        <f t="shared" si="2"/>
        <v>-8548</v>
      </c>
      <c r="H78" s="121">
        <f t="shared" si="0"/>
        <v>5.9625962596259621</v>
      </c>
    </row>
    <row r="79" spans="1:8" s="5" customFormat="1" ht="20.100000000000001" customHeight="1">
      <c r="A79" s="8" t="s">
        <v>29</v>
      </c>
      <c r="B79" s="14">
        <v>1440</v>
      </c>
      <c r="C79" s="164">
        <f>'I. Фін результат'!C125</f>
        <v>1206</v>
      </c>
      <c r="D79" s="164">
        <f>'I. Фін результат'!D125</f>
        <v>1444</v>
      </c>
      <c r="E79" s="164">
        <f>'I. Фін результат'!E125</f>
        <v>1185.7</v>
      </c>
      <c r="F79" s="164">
        <f>'I. Фін результат'!F125</f>
        <v>1444</v>
      </c>
      <c r="G79" s="137">
        <f t="shared" si="2"/>
        <v>258.29999999999995</v>
      </c>
      <c r="H79" s="121">
        <f t="shared" si="0"/>
        <v>121.78459981445559</v>
      </c>
    </row>
    <row r="80" spans="1:8" s="5" customFormat="1" ht="20.100000000000001" customHeight="1" thickBot="1">
      <c r="A80" s="10" t="s">
        <v>50</v>
      </c>
      <c r="B80" s="14">
        <v>1450</v>
      </c>
      <c r="C80" s="150">
        <f>SUM(C73,C76,C77,C78,C79)</f>
        <v>20728</v>
      </c>
      <c r="D80" s="150">
        <f>SUM(D73,D76,D77,D78,D79)</f>
        <v>13726.400000000001</v>
      </c>
      <c r="E80" s="150">
        <f>SUM(E73,E76,E77,E78,E79)</f>
        <v>22213.200000000001</v>
      </c>
      <c r="F80" s="150">
        <f>SUM(F73,F76,F77,F78,F79)</f>
        <v>13726.400000000001</v>
      </c>
      <c r="G80" s="165">
        <f t="shared" si="2"/>
        <v>-8486.7999999999993</v>
      </c>
      <c r="H80" s="122">
        <f t="shared" si="0"/>
        <v>61.793888318657373</v>
      </c>
    </row>
    <row r="81" spans="1:8" s="5" customFormat="1" thickBot="1">
      <c r="A81" s="359" t="s">
        <v>118</v>
      </c>
      <c r="B81" s="360"/>
      <c r="C81" s="360"/>
      <c r="D81" s="360"/>
      <c r="E81" s="360"/>
      <c r="F81" s="360"/>
      <c r="G81" s="360"/>
      <c r="H81" s="361"/>
    </row>
    <row r="82" spans="1:8" s="5" customFormat="1" ht="17.399999999999999">
      <c r="A82" s="375" t="s">
        <v>117</v>
      </c>
      <c r="B82" s="376"/>
      <c r="C82" s="376"/>
      <c r="D82" s="376"/>
      <c r="E82" s="376"/>
      <c r="F82" s="376"/>
      <c r="G82" s="376"/>
      <c r="H82" s="377"/>
    </row>
    <row r="83" spans="1:8" s="5" customFormat="1" ht="37.5" customHeight="1">
      <c r="A83" s="110" t="s">
        <v>52</v>
      </c>
      <c r="B83" s="99">
        <v>2000</v>
      </c>
      <c r="C83" s="164">
        <f>'ІІ. Розр. з бюджетом'!C8</f>
        <v>-6492</v>
      </c>
      <c r="D83" s="164">
        <v>-6492</v>
      </c>
      <c r="E83" s="164">
        <f>'ІІ. Розр. з бюджетом'!E8</f>
        <v>-5970.6</v>
      </c>
      <c r="F83" s="164">
        <f>'ІІ. Розр. з бюджетом'!F8</f>
        <v>-5437</v>
      </c>
      <c r="G83" s="164">
        <f t="shared" ref="G83:G94" si="5">F83-E83</f>
        <v>533.60000000000036</v>
      </c>
      <c r="H83" s="121">
        <f t="shared" ref="H83:H135" si="6">(F83/E83)*100</f>
        <v>91.062874752956148</v>
      </c>
    </row>
    <row r="84" spans="1:8" s="5" customFormat="1" ht="21.45" customHeight="1">
      <c r="A84" s="40" t="s">
        <v>284</v>
      </c>
      <c r="B84" s="6">
        <v>1200</v>
      </c>
      <c r="C84" s="167">
        <f t="shared" ref="C84:F84" si="7">C66</f>
        <v>242.99999999999818</v>
      </c>
      <c r="D84" s="167">
        <f t="shared" si="7"/>
        <v>49.000000000003979</v>
      </c>
      <c r="E84" s="167">
        <f t="shared" si="7"/>
        <v>409.50000000000182</v>
      </c>
      <c r="F84" s="167">
        <f t="shared" si="7"/>
        <v>49.000000000003979</v>
      </c>
      <c r="G84" s="164"/>
      <c r="H84" s="121"/>
    </row>
    <row r="85" spans="1:8" s="5" customFormat="1" ht="27.45" customHeight="1">
      <c r="A85" s="8" t="s">
        <v>522</v>
      </c>
      <c r="B85" s="6">
        <v>2010</v>
      </c>
      <c r="C85" s="164" t="str">
        <f>'ІІ. Розр. з бюджетом'!C10</f>
        <v>(    )</v>
      </c>
      <c r="D85" s="164" t="str">
        <f>'ІІ. Розр. з бюджетом'!D10</f>
        <v>(    )</v>
      </c>
      <c r="E85" s="164" t="str">
        <f>'ІІ. Розр. з бюджетом'!E10</f>
        <v>(    )</v>
      </c>
      <c r="F85" s="164" t="str">
        <f>'ІІ. Розр. з бюджетом'!F10</f>
        <v>(    )</v>
      </c>
      <c r="G85" s="137"/>
      <c r="H85" s="121"/>
    </row>
    <row r="86" spans="1:8" s="5" customFormat="1" ht="39.75" customHeight="1">
      <c r="A86" s="8" t="s">
        <v>142</v>
      </c>
      <c r="B86" s="6">
        <v>2011</v>
      </c>
      <c r="C86" s="164" t="str">
        <f>'ІІ. Розр. з бюджетом'!C11</f>
        <v>(    )</v>
      </c>
      <c r="D86" s="164" t="str">
        <f>'ІІ. Розр. з бюджетом'!D11</f>
        <v>(    )</v>
      </c>
      <c r="E86" s="164" t="str">
        <f>'ІІ. Розр. з бюджетом'!E11</f>
        <v>(    )</v>
      </c>
      <c r="F86" s="164" t="str">
        <f>'ІІ. Розр. з бюджетом'!F11</f>
        <v>(    )</v>
      </c>
      <c r="G86" s="137"/>
      <c r="H86" s="121"/>
    </row>
    <row r="87" spans="1:8" s="5" customFormat="1" ht="36">
      <c r="A87" s="8" t="s">
        <v>523</v>
      </c>
      <c r="B87" s="6">
        <v>2012</v>
      </c>
      <c r="C87" s="164" t="str">
        <f>'ІІ. Розр. з бюджетом'!C12</f>
        <v>(    )</v>
      </c>
      <c r="D87" s="164" t="str">
        <f>'ІІ. Розр. з бюджетом'!D12</f>
        <v>(    )</v>
      </c>
      <c r="E87" s="164" t="str">
        <f>'ІІ. Розр. з бюджетом'!E12</f>
        <v>(    )</v>
      </c>
      <c r="F87" s="164" t="str">
        <f>'ІІ. Розр. з бюджетом'!F12</f>
        <v>(    )</v>
      </c>
      <c r="G87" s="182"/>
      <c r="H87" s="121"/>
    </row>
    <row r="88" spans="1:8" s="5" customFormat="1">
      <c r="A88" s="8" t="s">
        <v>126</v>
      </c>
      <c r="B88" s="6" t="s">
        <v>149</v>
      </c>
      <c r="C88" s="164">
        <f>'ІІ. Розр. з бюджетом'!C13</f>
        <v>0</v>
      </c>
      <c r="D88" s="164">
        <f>'ІІ. Розр. з бюджетом'!D13</f>
        <v>0</v>
      </c>
      <c r="E88" s="164">
        <f>'ІІ. Розр. з бюджетом'!E13</f>
        <v>0</v>
      </c>
      <c r="F88" s="164">
        <f>'ІІ. Розр. з бюджетом'!F13</f>
        <v>0</v>
      </c>
      <c r="G88" s="137"/>
      <c r="H88" s="121"/>
    </row>
    <row r="89" spans="1:8" s="5" customFormat="1">
      <c r="A89" s="40" t="s">
        <v>135</v>
      </c>
      <c r="B89" s="6">
        <v>2020</v>
      </c>
      <c r="C89" s="164" t="str">
        <f>'ІІ. Розр. з бюджетом'!C14</f>
        <v>(    )</v>
      </c>
      <c r="D89" s="164" t="str">
        <f>'ІІ. Розр. з бюджетом'!D14</f>
        <v>(    )</v>
      </c>
      <c r="E89" s="164" t="str">
        <f>'ІІ. Розр. з бюджетом'!E14</f>
        <v>(    )</v>
      </c>
      <c r="F89" s="164" t="str">
        <f>'ІІ. Розр. з бюджетом'!F14</f>
        <v>(    )</v>
      </c>
      <c r="G89" s="137"/>
      <c r="H89" s="121"/>
    </row>
    <row r="90" spans="1:8" s="268" customFormat="1">
      <c r="A90" s="40" t="s">
        <v>62</v>
      </c>
      <c r="B90" s="258">
        <v>2030</v>
      </c>
      <c r="C90" s="164"/>
      <c r="D90" s="164"/>
      <c r="E90" s="164"/>
      <c r="F90" s="164"/>
      <c r="G90" s="257"/>
      <c r="H90" s="121"/>
    </row>
    <row r="91" spans="1:8" s="5" customFormat="1">
      <c r="A91" s="40" t="s">
        <v>27</v>
      </c>
      <c r="B91" s="6">
        <v>2040</v>
      </c>
      <c r="C91" s="164" t="str">
        <f>'ІІ. Розр. з бюджетом'!C16</f>
        <v>(    )</v>
      </c>
      <c r="D91" s="164" t="str">
        <f>'ІІ. Розр. з бюджетом'!D16</f>
        <v>(    )</v>
      </c>
      <c r="E91" s="164" t="str">
        <f>'ІІ. Розр. з бюджетом'!E16</f>
        <v>(    )</v>
      </c>
      <c r="F91" s="164" t="str">
        <f>'ІІ. Розр. з бюджетом'!F16</f>
        <v>(    )</v>
      </c>
      <c r="G91" s="137"/>
      <c r="H91" s="121"/>
    </row>
    <row r="92" spans="1:8" s="5" customFormat="1">
      <c r="A92" s="40" t="s">
        <v>237</v>
      </c>
      <c r="B92" s="6">
        <v>2050</v>
      </c>
      <c r="C92" s="164" t="str">
        <f>'ІІ. Розр. з бюджетом'!C17</f>
        <v>(    )</v>
      </c>
      <c r="D92" s="164" t="str">
        <f>'ІІ. Розр. з бюджетом'!D17</f>
        <v>(    )</v>
      </c>
      <c r="E92" s="164" t="str">
        <f>'ІІ. Розр. з бюджетом'!E17</f>
        <v>(    )</v>
      </c>
      <c r="F92" s="164" t="str">
        <f>'ІІ. Розр. з бюджетом'!F17</f>
        <v>(    )</v>
      </c>
      <c r="G92" s="137"/>
      <c r="H92" s="121"/>
    </row>
    <row r="93" spans="1:8" s="5" customFormat="1">
      <c r="A93" s="40" t="s">
        <v>238</v>
      </c>
      <c r="B93" s="6">
        <v>2060</v>
      </c>
      <c r="C93" s="164" t="str">
        <f>'ІІ. Розр. з бюджетом'!C18</f>
        <v>(    )</v>
      </c>
      <c r="D93" s="164" t="str">
        <f>'ІІ. Розр. з бюджетом'!D18</f>
        <v>(    )</v>
      </c>
      <c r="E93" s="164" t="str">
        <f>'ІІ. Розр. з бюджетом'!E18</f>
        <v>(    )</v>
      </c>
      <c r="F93" s="164" t="str">
        <f>'ІІ. Розр. з бюджетом'!F18</f>
        <v>(    )</v>
      </c>
      <c r="G93" s="137"/>
      <c r="H93" s="121"/>
    </row>
    <row r="94" spans="1:8" s="5" customFormat="1" ht="41.25" customHeight="1">
      <c r="A94" s="40" t="s">
        <v>53</v>
      </c>
      <c r="B94" s="6">
        <v>2070</v>
      </c>
      <c r="C94" s="168">
        <f>C83+C84</f>
        <v>-6249.0000000000018</v>
      </c>
      <c r="D94" s="168">
        <f>D83+D84</f>
        <v>-6442.9999999999964</v>
      </c>
      <c r="E94" s="168">
        <f>E83+E84</f>
        <v>-5561.0999999999985</v>
      </c>
      <c r="F94" s="168">
        <f>'ІІ. Розр. з бюджетом'!F19</f>
        <v>-5407</v>
      </c>
      <c r="G94" s="137">
        <f t="shared" si="5"/>
        <v>154.09999999999854</v>
      </c>
      <c r="H94" s="121">
        <f t="shared" si="6"/>
        <v>97.228965492438562</v>
      </c>
    </row>
    <row r="95" spans="1:8" s="5" customFormat="1" ht="21.75" customHeight="1">
      <c r="A95" s="372" t="s">
        <v>360</v>
      </c>
      <c r="B95" s="373"/>
      <c r="C95" s="373"/>
      <c r="D95" s="373"/>
      <c r="E95" s="373"/>
      <c r="F95" s="373"/>
      <c r="G95" s="373"/>
      <c r="H95" s="374"/>
    </row>
    <row r="96" spans="1:8" s="5" customFormat="1" ht="41.25" customHeight="1">
      <c r="A96" s="62" t="s">
        <v>352</v>
      </c>
      <c r="B96" s="6">
        <v>2110</v>
      </c>
      <c r="C96" s="165">
        <f>'ІІ. Розр. з бюджетом'!C21</f>
        <v>1352.5</v>
      </c>
      <c r="D96" s="165">
        <f>'ІІ. Розр. з бюджетом'!D21</f>
        <v>2020.5</v>
      </c>
      <c r="E96" s="165">
        <f>'ІІ. Розр. з бюджетом'!E21</f>
        <v>1772.4</v>
      </c>
      <c r="F96" s="165">
        <f>'ІІ. Розр. з бюджетом'!F21</f>
        <v>2020.5</v>
      </c>
      <c r="G96" s="165">
        <f t="shared" ref="G96:G108" si="8">F96-E96</f>
        <v>248.09999999999991</v>
      </c>
      <c r="H96" s="122">
        <f t="shared" si="6"/>
        <v>113.99796885578874</v>
      </c>
    </row>
    <row r="97" spans="1:8" s="5" customFormat="1">
      <c r="A97" s="8" t="s">
        <v>263</v>
      </c>
      <c r="B97" s="6">
        <v>2111</v>
      </c>
      <c r="C97" s="137">
        <f>'ІІ. Розр. з бюджетом'!C22</f>
        <v>0</v>
      </c>
      <c r="D97" s="137">
        <f>'ІІ. Розр. з бюджетом'!D22</f>
        <v>13</v>
      </c>
      <c r="E97" s="137">
        <f>'ІІ. Розр. з бюджетом'!E22</f>
        <v>170</v>
      </c>
      <c r="F97" s="137">
        <f>'ІІ. Розр. з бюджетом'!F22</f>
        <v>13</v>
      </c>
      <c r="G97" s="137">
        <f t="shared" si="8"/>
        <v>-157</v>
      </c>
      <c r="H97" s="121"/>
    </row>
    <row r="98" spans="1:8" s="5" customFormat="1">
      <c r="A98" s="8" t="s">
        <v>353</v>
      </c>
      <c r="B98" s="6">
        <v>2112</v>
      </c>
      <c r="C98" s="137">
        <f>'ІІ. Розр. з бюджетом'!C23</f>
        <v>1279.8</v>
      </c>
      <c r="D98" s="137">
        <f>'ІІ. Розр. з бюджетом'!D23</f>
        <v>1905</v>
      </c>
      <c r="E98" s="137">
        <f>'ІІ. Розр. з бюджетом'!E23</f>
        <v>1516</v>
      </c>
      <c r="F98" s="137">
        <f>'ІІ. Розр. з бюджетом'!F23</f>
        <v>1905</v>
      </c>
      <c r="G98" s="137">
        <f t="shared" si="8"/>
        <v>389</v>
      </c>
      <c r="H98" s="121">
        <f t="shared" si="6"/>
        <v>125.65963060686016</v>
      </c>
    </row>
    <row r="99" spans="1:8" s="5" customFormat="1" ht="19.5" customHeight="1">
      <c r="A99" s="40" t="s">
        <v>354</v>
      </c>
      <c r="B99" s="7">
        <v>2113</v>
      </c>
      <c r="C99" s="137">
        <f>'ІІ. Розр. з бюджетом'!C24</f>
        <v>0</v>
      </c>
      <c r="D99" s="137">
        <f>'ІІ. Розр. з бюджетом'!D24</f>
        <v>0</v>
      </c>
      <c r="E99" s="137" t="str">
        <f>'ІІ. Розр. з бюджетом'!E24</f>
        <v>(    )</v>
      </c>
      <c r="F99" s="137">
        <f>'ІІ. Розр. з бюджетом'!F24</f>
        <v>0</v>
      </c>
      <c r="G99" s="143"/>
      <c r="H99" s="121"/>
    </row>
    <row r="100" spans="1:8" s="5" customFormat="1">
      <c r="A100" s="40" t="s">
        <v>72</v>
      </c>
      <c r="B100" s="7">
        <v>2114</v>
      </c>
      <c r="C100" s="137">
        <f>'ІІ. Розр. з бюджетом'!C25</f>
        <v>0</v>
      </c>
      <c r="D100" s="137">
        <f>'ІІ. Розр. з бюджетом'!D25</f>
        <v>0</v>
      </c>
      <c r="E100" s="137">
        <f>'ІІ. Розр. з бюджетом'!E25</f>
        <v>0</v>
      </c>
      <c r="F100" s="137">
        <f>'ІІ. Розр. з бюджетом'!F25</f>
        <v>0</v>
      </c>
      <c r="G100" s="143">
        <f t="shared" si="8"/>
        <v>0</v>
      </c>
      <c r="H100" s="121"/>
    </row>
    <row r="101" spans="1:8" s="5" customFormat="1" ht="36">
      <c r="A101" s="40" t="s">
        <v>355</v>
      </c>
      <c r="B101" s="7">
        <v>2115</v>
      </c>
      <c r="C101" s="137">
        <f>'ІІ. Розр. з бюджетом'!C26</f>
        <v>0</v>
      </c>
      <c r="D101" s="137">
        <f>'ІІ. Розр. з бюджетом'!D26</f>
        <v>0</v>
      </c>
      <c r="E101" s="137">
        <f>'ІІ. Розр. з бюджетом'!E26</f>
        <v>0</v>
      </c>
      <c r="F101" s="137">
        <f>'ІІ. Розр. з бюджетом'!F26</f>
        <v>0</v>
      </c>
      <c r="G101" s="143">
        <f t="shared" si="8"/>
        <v>0</v>
      </c>
      <c r="H101" s="121"/>
    </row>
    <row r="102" spans="1:8" s="5" customFormat="1">
      <c r="A102" s="40" t="s">
        <v>88</v>
      </c>
      <c r="B102" s="7">
        <v>2116</v>
      </c>
      <c r="C102" s="137">
        <f>'ІІ. Розр. з бюджетом'!C27</f>
        <v>0</v>
      </c>
      <c r="D102" s="137">
        <f>'ІІ. Розр. з бюджетом'!D27</f>
        <v>0</v>
      </c>
      <c r="E102" s="137">
        <f>'ІІ. Розр. з бюджетом'!E27</f>
        <v>0</v>
      </c>
      <c r="F102" s="137">
        <f>'ІІ. Розр. з бюджетом'!F27</f>
        <v>0</v>
      </c>
      <c r="G102" s="143">
        <f t="shared" si="8"/>
        <v>0</v>
      </c>
      <c r="H102" s="121"/>
    </row>
    <row r="103" spans="1:8" s="5" customFormat="1">
      <c r="A103" s="40" t="s">
        <v>376</v>
      </c>
      <c r="B103" s="7">
        <v>2117</v>
      </c>
      <c r="C103" s="137">
        <f>'ІІ. Розр. з бюджетом'!C28</f>
        <v>0</v>
      </c>
      <c r="D103" s="137">
        <f>'ІІ. Розр. з бюджетом'!D28</f>
        <v>0</v>
      </c>
      <c r="E103" s="137">
        <f>'ІІ. Розр. з бюджетом'!E28</f>
        <v>0</v>
      </c>
      <c r="F103" s="137">
        <f>'ІІ. Розр. з бюджетом'!F28</f>
        <v>0</v>
      </c>
      <c r="G103" s="143">
        <f t="shared" si="8"/>
        <v>0</v>
      </c>
      <c r="H103" s="121"/>
    </row>
    <row r="104" spans="1:8" s="5" customFormat="1" ht="21.75" customHeight="1">
      <c r="A104" s="62" t="s">
        <v>356</v>
      </c>
      <c r="B104" s="46">
        <v>2120</v>
      </c>
      <c r="C104" s="169">
        <f>'ІІ. Розр. з бюджетом'!C31</f>
        <v>1396.4</v>
      </c>
      <c r="D104" s="169">
        <f>'ІІ. Розр. з бюджетом'!D31</f>
        <v>1723.9</v>
      </c>
      <c r="E104" s="169">
        <f>'ІІ. Розр. з бюджетом'!E31</f>
        <v>1560.4</v>
      </c>
      <c r="F104" s="169">
        <f>'ІІ. Розр. з бюджетом'!F31</f>
        <v>1723.9</v>
      </c>
      <c r="G104" s="165">
        <f t="shared" si="8"/>
        <v>163.5</v>
      </c>
      <c r="H104" s="122">
        <f t="shared" si="6"/>
        <v>110.47808254293771</v>
      </c>
    </row>
    <row r="105" spans="1:8" s="5" customFormat="1" ht="34.799999999999997">
      <c r="A105" s="62" t="s">
        <v>357</v>
      </c>
      <c r="B105" s="46">
        <v>2130</v>
      </c>
      <c r="C105" s="169">
        <f>'ІІ. Розр. з бюджетом'!C36</f>
        <v>1025.5999999999999</v>
      </c>
      <c r="D105" s="169">
        <f>'ІІ. Розр. з бюджетом'!D36</f>
        <v>1293.7</v>
      </c>
      <c r="E105" s="169">
        <f>'ІІ. Розр. з бюджетом'!E36</f>
        <v>1267.8</v>
      </c>
      <c r="F105" s="169">
        <f>'ІІ. Розр. з бюджетом'!F36</f>
        <v>1293.7</v>
      </c>
      <c r="G105" s="165">
        <f t="shared" si="8"/>
        <v>25.900000000000091</v>
      </c>
      <c r="H105" s="122">
        <f t="shared" si="6"/>
        <v>102.04290897617922</v>
      </c>
    </row>
    <row r="106" spans="1:8" s="5" customFormat="1" ht="60.75" customHeight="1">
      <c r="A106" s="76" t="s">
        <v>377</v>
      </c>
      <c r="B106" s="7">
        <v>2131</v>
      </c>
      <c r="C106" s="164">
        <f>'ІІ. Розр. з бюджетом'!C37</f>
        <v>0</v>
      </c>
      <c r="D106" s="164">
        <f>'ІІ. Розр. з бюджетом'!D37</f>
        <v>0</v>
      </c>
      <c r="E106" s="164">
        <f>'ІІ. Розр. з бюджетом'!E37</f>
        <v>0</v>
      </c>
      <c r="F106" s="164">
        <f>'ІІ. Розр. з бюджетом'!F37</f>
        <v>0</v>
      </c>
      <c r="G106" s="137">
        <f t="shared" si="8"/>
        <v>0</v>
      </c>
      <c r="H106" s="121"/>
    </row>
    <row r="107" spans="1:8" s="5" customFormat="1" ht="19.5" customHeight="1">
      <c r="A107" s="76" t="s">
        <v>358</v>
      </c>
      <c r="B107" s="7">
        <v>2133</v>
      </c>
      <c r="C107" s="164">
        <f>'ІІ. Розр. з бюджетом'!C39</f>
        <v>1025.5999999999999</v>
      </c>
      <c r="D107" s="164">
        <f>'ІІ. Розр. з бюджетом'!D39</f>
        <v>1293.7</v>
      </c>
      <c r="E107" s="164">
        <f>'ІІ. Розр. з бюджетом'!E39</f>
        <v>1267.8</v>
      </c>
      <c r="F107" s="164">
        <f>'ІІ. Розр. з бюджетом'!F39</f>
        <v>1293.7</v>
      </c>
      <c r="G107" s="137">
        <f t="shared" si="8"/>
        <v>25.900000000000091</v>
      </c>
      <c r="H107" s="121">
        <f t="shared" si="6"/>
        <v>102.04290897617922</v>
      </c>
    </row>
    <row r="108" spans="1:8" s="5" customFormat="1" ht="22.65" customHeight="1" thickBot="1">
      <c r="A108" s="75" t="s">
        <v>359</v>
      </c>
      <c r="B108" s="7">
        <v>2200</v>
      </c>
      <c r="C108" s="169">
        <f>'ІІ. Розр. з бюджетом'!C44</f>
        <v>3776.2</v>
      </c>
      <c r="D108" s="169">
        <f>'ІІ. Розр. з бюджетом'!D44</f>
        <v>5490.8</v>
      </c>
      <c r="E108" s="169">
        <f>'ІІ. Розр. з бюджетом'!E44</f>
        <v>4615.6000000000004</v>
      </c>
      <c r="F108" s="169">
        <f>'ІІ. Розр. з бюджетом'!F44</f>
        <v>5490.8</v>
      </c>
      <c r="G108" s="165">
        <f t="shared" si="8"/>
        <v>875.19999999999982</v>
      </c>
      <c r="H108" s="122">
        <f t="shared" si="6"/>
        <v>118.96178178351677</v>
      </c>
    </row>
    <row r="109" spans="1:8" s="5" customFormat="1" thickBot="1">
      <c r="A109" s="359" t="s">
        <v>291</v>
      </c>
      <c r="B109" s="360"/>
      <c r="C109" s="360"/>
      <c r="D109" s="360"/>
      <c r="E109" s="360"/>
      <c r="F109" s="360"/>
      <c r="G109" s="360"/>
      <c r="H109" s="361"/>
    </row>
    <row r="110" spans="1:8" s="5" customFormat="1" ht="20.100000000000001" customHeight="1">
      <c r="A110" s="94" t="s">
        <v>288</v>
      </c>
      <c r="B110" s="9">
        <v>3405</v>
      </c>
      <c r="C110" s="169">
        <f>'ІІІ. Рух грош. коштів'!C91</f>
        <v>1165.0999999999999</v>
      </c>
      <c r="D110" s="169">
        <f>'ІІІ. Рух грош. коштів'!D91</f>
        <v>994.6</v>
      </c>
      <c r="E110" s="169">
        <f>'ІІІ. Рух грош. коштів'!E91</f>
        <v>1359</v>
      </c>
      <c r="F110" s="169">
        <f>'ІІІ. Рух грош. коштів'!F91</f>
        <v>994.6</v>
      </c>
      <c r="G110" s="165">
        <f t="shared" ref="G110:G116" si="9">F110-E110</f>
        <v>-364.4</v>
      </c>
      <c r="H110" s="122">
        <f t="shared" si="6"/>
        <v>73.186166298749072</v>
      </c>
    </row>
    <row r="111" spans="1:8" s="5" customFormat="1" ht="20.100000000000001" customHeight="1">
      <c r="A111" s="76" t="s">
        <v>349</v>
      </c>
      <c r="B111" s="109">
        <v>3030</v>
      </c>
      <c r="C111" s="164">
        <f>'ІІІ. Рух грош. коштів'!C11</f>
        <v>2616.5</v>
      </c>
      <c r="D111" s="164">
        <f>'ІІІ. Рух грош. коштів'!D11</f>
        <v>3.2</v>
      </c>
      <c r="E111" s="164">
        <f>'ІІІ. Рух грош. коштів'!E11</f>
        <v>0</v>
      </c>
      <c r="F111" s="164">
        <f>'ІІІ. Рух грош. коштів'!F11</f>
        <v>3.2</v>
      </c>
      <c r="G111" s="143">
        <f t="shared" ref="G111" si="10">F111-E111</f>
        <v>3.2</v>
      </c>
      <c r="H111" s="121"/>
    </row>
    <row r="112" spans="1:8" s="5" customFormat="1">
      <c r="A112" s="76" t="s">
        <v>282</v>
      </c>
      <c r="B112" s="109">
        <v>3195</v>
      </c>
      <c r="C112" s="164">
        <f>'ІІІ. Рух грош. коштів'!C51</f>
        <v>-1160.6000000000022</v>
      </c>
      <c r="D112" s="164">
        <f>'ІІІ. Рух грош. коштів'!D51</f>
        <v>213.60000000000036</v>
      </c>
      <c r="E112" s="164">
        <f>'ІІІ. Рух грош. коштів'!E51</f>
        <v>-9.0999999999967258</v>
      </c>
      <c r="F112" s="164">
        <f>'ІІІ. Рух грош. коштів'!F51</f>
        <v>213.60000000000036</v>
      </c>
      <c r="G112" s="137">
        <f t="shared" si="9"/>
        <v>222.69999999999709</v>
      </c>
      <c r="H112" s="121">
        <f t="shared" si="6"/>
        <v>-2347.2527472535958</v>
      </c>
    </row>
    <row r="113" spans="1:8">
      <c r="A113" s="76" t="s">
        <v>119</v>
      </c>
      <c r="B113" s="109">
        <v>3295</v>
      </c>
      <c r="C113" s="164">
        <f>'ІІІ. Рух грош. коштів'!C70</f>
        <v>0</v>
      </c>
      <c r="D113" s="164">
        <f>'ІІІ. Рух грош. коштів'!D70</f>
        <v>-280.79999999999995</v>
      </c>
      <c r="E113" s="164">
        <f>'ІІІ. Рух грош. коштів'!E70</f>
        <v>-441.6</v>
      </c>
      <c r="F113" s="164">
        <f>'ІІІ. Рух грош. коштів'!F70</f>
        <v>-280.79999999999995</v>
      </c>
      <c r="G113" s="137">
        <f t="shared" si="9"/>
        <v>160.80000000000007</v>
      </c>
      <c r="H113" s="121"/>
    </row>
    <row r="114" spans="1:8" s="5" customFormat="1">
      <c r="A114" s="76" t="s">
        <v>290</v>
      </c>
      <c r="B114" s="9">
        <v>3395</v>
      </c>
      <c r="C114" s="164">
        <f>'ІІІ. Рух грош. коштів'!C89</f>
        <v>0</v>
      </c>
      <c r="D114" s="164">
        <f>'ІІІ. Рух грош. коштів'!D89</f>
        <v>0</v>
      </c>
      <c r="E114" s="164">
        <f>'ІІІ. Рух грош. коштів'!E89</f>
        <v>0</v>
      </c>
      <c r="F114" s="164">
        <f>'ІІІ. Рух грош. коштів'!F89</f>
        <v>0</v>
      </c>
      <c r="G114" s="137">
        <f t="shared" si="9"/>
        <v>0</v>
      </c>
      <c r="H114" s="121"/>
    </row>
    <row r="115" spans="1:8" s="5" customFormat="1">
      <c r="A115" s="76" t="s">
        <v>122</v>
      </c>
      <c r="B115" s="9">
        <v>3410</v>
      </c>
      <c r="C115" s="164">
        <f>'ІІІ. Рух грош. коштів'!C92</f>
        <v>0</v>
      </c>
      <c r="D115" s="164">
        <f>'ІІІ. Рух грош. коштів'!D92</f>
        <v>0</v>
      </c>
      <c r="E115" s="164">
        <f>'ІІІ. Рух грош. коштів'!E92</f>
        <v>0</v>
      </c>
      <c r="F115" s="164">
        <f>'ІІІ. Рух грош. коштів'!F92</f>
        <v>0</v>
      </c>
      <c r="G115" s="137">
        <f t="shared" si="9"/>
        <v>0</v>
      </c>
      <c r="H115" s="121"/>
    </row>
    <row r="116" spans="1:8" s="5" customFormat="1" ht="18.600000000000001" thickBot="1">
      <c r="A116" s="95" t="s">
        <v>289</v>
      </c>
      <c r="B116" s="9">
        <v>3415</v>
      </c>
      <c r="C116" s="150">
        <f>SUM(C110,C112:C115)</f>
        <v>4.4999999999977263</v>
      </c>
      <c r="D116" s="150">
        <f>SUM(D110,D112:D115)</f>
        <v>927.40000000000032</v>
      </c>
      <c r="E116" s="150">
        <f>SUM(E110,E112:E115)</f>
        <v>908.30000000000325</v>
      </c>
      <c r="F116" s="150">
        <f>SUM(F110,F112:F115)</f>
        <v>927.40000000000032</v>
      </c>
      <c r="G116" s="165">
        <f t="shared" si="9"/>
        <v>19.099999999997067</v>
      </c>
      <c r="H116" s="122">
        <f t="shared" si="6"/>
        <v>102.1028294616313</v>
      </c>
    </row>
    <row r="117" spans="1:8" s="5" customFormat="1" thickBot="1">
      <c r="A117" s="366" t="s">
        <v>292</v>
      </c>
      <c r="B117" s="367"/>
      <c r="C117" s="367"/>
      <c r="D117" s="367"/>
      <c r="E117" s="367"/>
      <c r="F117" s="367"/>
      <c r="G117" s="367"/>
      <c r="H117" s="368"/>
    </row>
    <row r="118" spans="1:8" s="5" customFormat="1" ht="20.100000000000001" customHeight="1">
      <c r="A118" s="94" t="s">
        <v>239</v>
      </c>
      <c r="B118" s="96">
        <v>4000</v>
      </c>
      <c r="C118" s="170">
        <f>SUM(C119:C124)</f>
        <v>241</v>
      </c>
      <c r="D118" s="170">
        <f>SUM(D119:D124)</f>
        <v>234</v>
      </c>
      <c r="E118" s="170">
        <f>SUM(E119:E124)</f>
        <v>368</v>
      </c>
      <c r="F118" s="170">
        <f>SUM(F119:F124)</f>
        <v>234</v>
      </c>
      <c r="G118" s="165">
        <f t="shared" ref="G118:G124" si="11">F118-E118</f>
        <v>-134</v>
      </c>
      <c r="H118" s="122">
        <f t="shared" si="6"/>
        <v>63.586956521739133</v>
      </c>
    </row>
    <row r="119" spans="1:8" s="5" customFormat="1" ht="20.100000000000001" customHeight="1">
      <c r="A119" s="8" t="s">
        <v>1</v>
      </c>
      <c r="B119" s="57" t="s">
        <v>150</v>
      </c>
      <c r="C119" s="164">
        <f>'IV. Кап. інвестиції'!C7</f>
        <v>0</v>
      </c>
      <c r="D119" s="164">
        <f>'IV. Кап. інвестиції'!D7</f>
        <v>0</v>
      </c>
      <c r="E119" s="164">
        <f>'IV. Кап. інвестиції'!E7</f>
        <v>0</v>
      </c>
      <c r="F119" s="164">
        <f>'IV. Кап. інвестиції'!F7</f>
        <v>0</v>
      </c>
      <c r="G119" s="137">
        <f t="shared" si="11"/>
        <v>0</v>
      </c>
      <c r="H119" s="121"/>
    </row>
    <row r="120" spans="1:8" s="5" customFormat="1" ht="20.100000000000001" customHeight="1">
      <c r="A120" s="8" t="s">
        <v>2</v>
      </c>
      <c r="B120" s="56">
        <v>4020</v>
      </c>
      <c r="C120" s="164">
        <f>'IV. Кап. інвестиції'!C8</f>
        <v>68</v>
      </c>
      <c r="D120" s="164">
        <f>'IV. Кап. інвестиції'!D8</f>
        <v>35</v>
      </c>
      <c r="E120" s="164">
        <f>'IV. Кап. інвестиції'!E8</f>
        <v>208</v>
      </c>
      <c r="F120" s="164">
        <f>'IV. Кап. інвестиції'!F8</f>
        <v>35</v>
      </c>
      <c r="G120" s="137">
        <f t="shared" si="11"/>
        <v>-173</v>
      </c>
      <c r="H120" s="121"/>
    </row>
    <row r="121" spans="1:8" s="5" customFormat="1" ht="20.100000000000001" customHeight="1">
      <c r="A121" s="8" t="s">
        <v>30</v>
      </c>
      <c r="B121" s="57">
        <v>4030</v>
      </c>
      <c r="C121" s="164">
        <f>'IV. Кап. інвестиції'!C9</f>
        <v>163</v>
      </c>
      <c r="D121" s="164">
        <f>'IV. Кап. інвестиції'!D9</f>
        <v>199</v>
      </c>
      <c r="E121" s="164">
        <f>'IV. Кап. інвестиції'!E9</f>
        <v>160</v>
      </c>
      <c r="F121" s="164">
        <f>'IV. Кап. інвестиції'!F9</f>
        <v>199</v>
      </c>
      <c r="G121" s="137">
        <f t="shared" si="11"/>
        <v>39</v>
      </c>
      <c r="H121" s="121">
        <f t="shared" si="6"/>
        <v>124.37499999999999</v>
      </c>
    </row>
    <row r="122" spans="1:8" s="5" customFormat="1">
      <c r="A122" s="8" t="s">
        <v>3</v>
      </c>
      <c r="B122" s="56">
        <v>4040</v>
      </c>
      <c r="C122" s="164">
        <f>'IV. Кап. інвестиції'!C10</f>
        <v>10</v>
      </c>
      <c r="D122" s="164">
        <f>'IV. Кап. інвестиції'!D10</f>
        <v>0</v>
      </c>
      <c r="E122" s="164">
        <f>'IV. Кап. інвестиції'!E10</f>
        <v>0</v>
      </c>
      <c r="F122" s="164">
        <f>'IV. Кап. інвестиції'!F10</f>
        <v>0</v>
      </c>
      <c r="G122" s="137">
        <f t="shared" si="11"/>
        <v>0</v>
      </c>
      <c r="H122" s="121"/>
    </row>
    <row r="123" spans="1:8" s="5" customFormat="1" ht="36">
      <c r="A123" s="8" t="s">
        <v>61</v>
      </c>
      <c r="B123" s="57">
        <v>4050</v>
      </c>
      <c r="C123" s="164">
        <f>'IV. Кап. інвестиції'!C11</f>
        <v>0</v>
      </c>
      <c r="D123" s="164">
        <f>'IV. Кап. інвестиції'!D11</f>
        <v>0</v>
      </c>
      <c r="E123" s="164">
        <f>'IV. Кап. інвестиції'!E11</f>
        <v>0</v>
      </c>
      <c r="F123" s="164">
        <f>'IV. Кап. інвестиції'!F11</f>
        <v>0</v>
      </c>
      <c r="G123" s="137"/>
      <c r="H123" s="121"/>
    </row>
    <row r="124" spans="1:8" s="5" customFormat="1">
      <c r="A124" s="8" t="s">
        <v>250</v>
      </c>
      <c r="B124" s="57">
        <v>4060</v>
      </c>
      <c r="C124" s="164">
        <f>'IV. Кап. інвестиції'!C12</f>
        <v>0</v>
      </c>
      <c r="D124" s="164">
        <f>'IV. Кап. інвестиції'!D12</f>
        <v>0</v>
      </c>
      <c r="E124" s="164">
        <f>'IV. Кап. інвестиції'!E12</f>
        <v>0</v>
      </c>
      <c r="F124" s="164">
        <f>'IV. Кап. інвестиції'!F12</f>
        <v>0</v>
      </c>
      <c r="G124" s="137">
        <f t="shared" si="11"/>
        <v>0</v>
      </c>
      <c r="H124" s="121"/>
    </row>
    <row r="125" spans="1:8" s="5" customFormat="1" ht="20.100000000000001" customHeight="1">
      <c r="A125" s="75" t="s">
        <v>240</v>
      </c>
      <c r="B125" s="96">
        <v>4000</v>
      </c>
      <c r="C125" s="150">
        <f>SUM(C126:C129)</f>
        <v>4980.3</v>
      </c>
      <c r="D125" s="150">
        <f>SUM(D126:D129)</f>
        <v>234</v>
      </c>
      <c r="E125" s="150">
        <f>SUM(E126:E129)</f>
        <v>368</v>
      </c>
      <c r="F125" s="150">
        <f>SUM(F126:F129)</f>
        <v>234</v>
      </c>
      <c r="G125" s="165">
        <f>F125-E125</f>
        <v>-134</v>
      </c>
      <c r="H125" s="122">
        <f t="shared" si="6"/>
        <v>63.586956521739133</v>
      </c>
    </row>
    <row r="126" spans="1:8" s="5" customFormat="1" ht="20.100000000000001" customHeight="1">
      <c r="A126" s="40" t="s">
        <v>378</v>
      </c>
      <c r="B126" s="97" t="s">
        <v>241</v>
      </c>
      <c r="C126" s="164">
        <v>0</v>
      </c>
      <c r="D126" s="164">
        <v>0</v>
      </c>
      <c r="E126" s="164">
        <f>'6.2. Інша інфо_2'!M40</f>
        <v>0</v>
      </c>
      <c r="F126" s="164">
        <f>'6.2. Інша інфо_2'!N40</f>
        <v>0</v>
      </c>
      <c r="G126" s="137">
        <f>F126-E126</f>
        <v>0</v>
      </c>
      <c r="H126" s="121"/>
    </row>
    <row r="127" spans="1:8" s="5" customFormat="1" ht="20.100000000000001" customHeight="1">
      <c r="A127" s="40" t="s">
        <v>379</v>
      </c>
      <c r="B127" s="97" t="s">
        <v>242</v>
      </c>
      <c r="C127" s="164">
        <v>4645</v>
      </c>
      <c r="D127" s="164">
        <v>0</v>
      </c>
      <c r="E127" s="164">
        <f>'6.2. Інша інфо_2'!Q40</f>
        <v>0</v>
      </c>
      <c r="F127" s="164">
        <f>'6.2. Інша інфо_2'!R40</f>
        <v>0</v>
      </c>
      <c r="G127" s="137">
        <f>F127-E127</f>
        <v>0</v>
      </c>
      <c r="H127" s="121"/>
    </row>
    <row r="128" spans="1:8" s="5" customFormat="1" ht="20.100000000000001" customHeight="1">
      <c r="A128" s="40" t="s">
        <v>200</v>
      </c>
      <c r="B128" s="97" t="s">
        <v>243</v>
      </c>
      <c r="C128" s="164">
        <v>335.3</v>
      </c>
      <c r="D128" s="164">
        <f>D118</f>
        <v>234</v>
      </c>
      <c r="E128" s="164">
        <f>'6.2. Інша інфо_2'!U40</f>
        <v>368</v>
      </c>
      <c r="F128" s="164">
        <f>F118</f>
        <v>234</v>
      </c>
      <c r="G128" s="137">
        <f>F128-E128</f>
        <v>-134</v>
      </c>
      <c r="H128" s="121">
        <f t="shared" si="6"/>
        <v>63.586956521739133</v>
      </c>
    </row>
    <row r="129" spans="1:8" s="5" customFormat="1" ht="20.100000000000001" customHeight="1" thickBot="1">
      <c r="A129" s="111" t="s">
        <v>380</v>
      </c>
      <c r="B129" s="112" t="s">
        <v>244</v>
      </c>
      <c r="C129" s="171">
        <v>0</v>
      </c>
      <c r="D129" s="171">
        <v>0</v>
      </c>
      <c r="E129" s="171">
        <f>'6.2. Інша інфо_2'!Y40</f>
        <v>0</v>
      </c>
      <c r="F129" s="171">
        <f>'6.2. Інша інфо_2'!Z40</f>
        <v>0</v>
      </c>
      <c r="G129" s="171">
        <f>F129-E129</f>
        <v>0</v>
      </c>
      <c r="H129" s="128"/>
    </row>
    <row r="130" spans="1:8" s="5" customFormat="1" thickBot="1">
      <c r="A130" s="369" t="s">
        <v>146</v>
      </c>
      <c r="B130" s="370"/>
      <c r="C130" s="370"/>
      <c r="D130" s="370"/>
      <c r="E130" s="370"/>
      <c r="F130" s="370"/>
      <c r="G130" s="370"/>
      <c r="H130" s="371"/>
    </row>
    <row r="131" spans="1:8" s="5" customFormat="1">
      <c r="A131" s="98" t="s">
        <v>323</v>
      </c>
      <c r="B131" s="99">
        <v>5040</v>
      </c>
      <c r="C131" s="281">
        <f>(C66/C34)*100</f>
        <v>2.0299056052125821</v>
      </c>
      <c r="D131" s="281">
        <f>(D66/D34)*100</f>
        <v>0.36323202372130453</v>
      </c>
      <c r="E131" s="172">
        <f>(E66/E34)*100</f>
        <v>2.9353365780928686</v>
      </c>
      <c r="F131" s="172">
        <f>(F66/F34)*100</f>
        <v>0.36323202372130453</v>
      </c>
      <c r="G131" s="173">
        <f>F131-E131</f>
        <v>-2.5721045543715642</v>
      </c>
      <c r="H131" s="121">
        <f t="shared" si="6"/>
        <v>12.374459080167963</v>
      </c>
    </row>
    <row r="132" spans="1:8" s="5" customFormat="1">
      <c r="A132" s="98" t="s">
        <v>324</v>
      </c>
      <c r="B132" s="99">
        <v>5020</v>
      </c>
      <c r="C132" s="281">
        <f>(C66/C143)*100</f>
        <v>8.0286891826793806E-3</v>
      </c>
      <c r="D132" s="281">
        <f>(D66/D143)*100</f>
        <v>4.0194574552736083E-2</v>
      </c>
      <c r="E132" s="282">
        <f>(E66/E143)*100</f>
        <v>1.3809278519996115E-2</v>
      </c>
      <c r="F132" s="282">
        <f>(F66/F143)*100</f>
        <v>4.0194574552736083E-2</v>
      </c>
      <c r="G132" s="173">
        <f>F132-E132</f>
        <v>2.6385296032739966E-2</v>
      </c>
      <c r="H132" s="121">
        <f t="shared" si="6"/>
        <v>291.06933062819701</v>
      </c>
    </row>
    <row r="133" spans="1:8" s="5" customFormat="1">
      <c r="A133" s="76" t="s">
        <v>325</v>
      </c>
      <c r="B133" s="6">
        <v>5030</v>
      </c>
      <c r="C133" s="283">
        <f>(C66/C149)*100</f>
        <v>8.0447300231641268E-3</v>
      </c>
      <c r="D133" s="283">
        <f>(D66/D149)*100</f>
        <v>4.2754432500352491E-2</v>
      </c>
      <c r="E133" s="284">
        <f>(E66/E149)*100</f>
        <v>1.3836808444676904E-2</v>
      </c>
      <c r="F133" s="284">
        <f>(F66/F149)*100</f>
        <v>4.2754432500352491E-2</v>
      </c>
      <c r="G133" s="173">
        <f>F133-E133</f>
        <v>2.8917624055675585E-2</v>
      </c>
      <c r="H133" s="121">
        <f t="shared" si="6"/>
        <v>308.99056434361751</v>
      </c>
    </row>
    <row r="134" spans="1:8" s="5" customFormat="1">
      <c r="A134" s="100" t="s">
        <v>154</v>
      </c>
      <c r="B134" s="101">
        <v>5110</v>
      </c>
      <c r="C134" s="174">
        <f>C149/C146</f>
        <v>500.51549295774646</v>
      </c>
      <c r="D134" s="174">
        <f>D149/D146</f>
        <v>15.70187696944787</v>
      </c>
      <c r="E134" s="174">
        <f>E149/E146</f>
        <v>501.60974576271184</v>
      </c>
      <c r="F134" s="174">
        <f>F149/F146</f>
        <v>15.70187696944787</v>
      </c>
      <c r="G134" s="173">
        <f>F134-E134</f>
        <v>-485.90786879326396</v>
      </c>
      <c r="H134" s="121">
        <f t="shared" si="6"/>
        <v>3.1302974278485598</v>
      </c>
    </row>
    <row r="135" spans="1:8" s="5" customFormat="1" ht="21.75" customHeight="1" thickBot="1">
      <c r="A135" s="129" t="s">
        <v>326</v>
      </c>
      <c r="B135" s="130">
        <v>5220</v>
      </c>
      <c r="C135" s="175">
        <f>C140/C139</f>
        <v>0.32004085718124098</v>
      </c>
      <c r="D135" s="175">
        <f>D140/D139</f>
        <v>0.40612813370473538</v>
      </c>
      <c r="E135" s="175">
        <f>E140/E139</f>
        <v>0.32675582716073809</v>
      </c>
      <c r="F135" s="175">
        <f>F140/F139</f>
        <v>0.40612813370473538</v>
      </c>
      <c r="G135" s="175">
        <f>F135-E135</f>
        <v>7.9372306543997295E-2</v>
      </c>
      <c r="H135" s="128">
        <f t="shared" si="6"/>
        <v>124.29101486381524</v>
      </c>
    </row>
    <row r="136" spans="1:8" s="5" customFormat="1" ht="24.75" customHeight="1" thickBot="1">
      <c r="A136" s="359" t="s">
        <v>293</v>
      </c>
      <c r="B136" s="360"/>
      <c r="C136" s="360"/>
      <c r="D136" s="360"/>
      <c r="E136" s="360"/>
      <c r="F136" s="360"/>
      <c r="G136" s="360"/>
      <c r="H136" s="361"/>
    </row>
    <row r="137" spans="1:8" s="5" customFormat="1" ht="20.100000000000001" customHeight="1">
      <c r="A137" s="98" t="s">
        <v>316</v>
      </c>
      <c r="B137" s="259">
        <v>6000</v>
      </c>
      <c r="C137" s="164">
        <v>3014545</v>
      </c>
      <c r="D137" s="164">
        <f>F137</f>
        <v>106864</v>
      </c>
      <c r="E137" s="164">
        <v>2952262</v>
      </c>
      <c r="F137" s="164">
        <v>106864</v>
      </c>
      <c r="G137" s="257">
        <f>D137-C137</f>
        <v>-2907681</v>
      </c>
      <c r="H137" s="121">
        <f>(D137/C137)*100</f>
        <v>3.544946252253657</v>
      </c>
    </row>
    <row r="138" spans="1:8" s="5" customFormat="1" ht="20.100000000000001" customHeight="1">
      <c r="A138" s="98" t="s">
        <v>317</v>
      </c>
      <c r="B138" s="259">
        <v>6001</v>
      </c>
      <c r="C138" s="164">
        <v>2920398</v>
      </c>
      <c r="D138" s="164">
        <f t="shared" ref="D138:D142" si="12">F138</f>
        <v>12792</v>
      </c>
      <c r="E138" s="257">
        <f>E139-E140</f>
        <v>2858176</v>
      </c>
      <c r="F138" s="257">
        <f>F139-F140</f>
        <v>12792</v>
      </c>
      <c r="G138" s="257">
        <f t="shared" ref="G138:G149" si="13">D138-C138</f>
        <v>-2907606</v>
      </c>
      <c r="H138" s="121">
        <f t="shared" ref="H138:H149" si="14">(D138/C138)*100</f>
        <v>0.43802248871557919</v>
      </c>
    </row>
    <row r="139" spans="1:8" s="5" customFormat="1" ht="20.100000000000001" customHeight="1">
      <c r="A139" s="98" t="s">
        <v>318</v>
      </c>
      <c r="B139" s="259">
        <v>6002</v>
      </c>
      <c r="C139" s="164">
        <v>4294961</v>
      </c>
      <c r="D139" s="164">
        <f t="shared" si="12"/>
        <v>21540</v>
      </c>
      <c r="E139" s="164">
        <v>4245378</v>
      </c>
      <c r="F139" s="164">
        <v>21540</v>
      </c>
      <c r="G139" s="257">
        <f t="shared" si="13"/>
        <v>-4273421</v>
      </c>
      <c r="H139" s="121">
        <f t="shared" si="14"/>
        <v>0.50151794160645469</v>
      </c>
    </row>
    <row r="140" spans="1:8" s="5" customFormat="1" ht="20.100000000000001" customHeight="1">
      <c r="A140" s="98" t="s">
        <v>319</v>
      </c>
      <c r="B140" s="259">
        <v>6003</v>
      </c>
      <c r="C140" s="164">
        <v>1374563</v>
      </c>
      <c r="D140" s="164">
        <f t="shared" si="12"/>
        <v>8748</v>
      </c>
      <c r="E140" s="164">
        <v>1387202</v>
      </c>
      <c r="F140" s="164">
        <v>8748</v>
      </c>
      <c r="G140" s="257">
        <f t="shared" si="13"/>
        <v>-1365815</v>
      </c>
      <c r="H140" s="121">
        <f t="shared" si="14"/>
        <v>0.63642044780777596</v>
      </c>
    </row>
    <row r="141" spans="1:8" s="5" customFormat="1" ht="20.100000000000001" customHeight="1">
      <c r="A141" s="76" t="s">
        <v>320</v>
      </c>
      <c r="B141" s="258">
        <v>6010</v>
      </c>
      <c r="C141" s="164">
        <v>12101</v>
      </c>
      <c r="D141" s="164">
        <f t="shared" si="12"/>
        <v>15043</v>
      </c>
      <c r="E141" s="164">
        <v>13135.5</v>
      </c>
      <c r="F141" s="164">
        <v>15043</v>
      </c>
      <c r="G141" s="257">
        <f t="shared" si="13"/>
        <v>2942</v>
      </c>
      <c r="H141" s="121">
        <f t="shared" si="14"/>
        <v>124.31204032724568</v>
      </c>
    </row>
    <row r="142" spans="1:8" s="5" customFormat="1">
      <c r="A142" s="76" t="s">
        <v>321</v>
      </c>
      <c r="B142" s="258">
        <v>6011</v>
      </c>
      <c r="C142" s="164">
        <v>4</v>
      </c>
      <c r="D142" s="164">
        <f t="shared" si="12"/>
        <v>927.40000000000032</v>
      </c>
      <c r="E142" s="164">
        <f>E116</f>
        <v>908.30000000000325</v>
      </c>
      <c r="F142" s="164">
        <f>F116</f>
        <v>927.40000000000032</v>
      </c>
      <c r="G142" s="257">
        <f t="shared" si="13"/>
        <v>923.40000000000032</v>
      </c>
      <c r="H142" s="121">
        <f t="shared" si="14"/>
        <v>23185.000000000007</v>
      </c>
    </row>
    <row r="143" spans="1:8" s="5" customFormat="1" ht="20.100000000000001" customHeight="1">
      <c r="A143" s="75" t="s">
        <v>183</v>
      </c>
      <c r="B143" s="258">
        <v>6020</v>
      </c>
      <c r="C143" s="169">
        <v>3026646</v>
      </c>
      <c r="D143" s="169">
        <f t="shared" ref="D143" si="15">D137+D141</f>
        <v>121907</v>
      </c>
      <c r="E143" s="169">
        <f t="shared" ref="E143" si="16">E137+E141</f>
        <v>2965397.5</v>
      </c>
      <c r="F143" s="169">
        <f t="shared" ref="F143" si="17">F137+F141</f>
        <v>121907</v>
      </c>
      <c r="G143" s="165">
        <f t="shared" si="13"/>
        <v>-2904739</v>
      </c>
      <c r="H143" s="122">
        <f t="shared" si="14"/>
        <v>4.0277918197238787</v>
      </c>
    </row>
    <row r="144" spans="1:8" s="5" customFormat="1" ht="20.100000000000001" customHeight="1">
      <c r="A144" s="76" t="s">
        <v>123</v>
      </c>
      <c r="B144" s="258">
        <v>6030</v>
      </c>
      <c r="C144" s="164">
        <v>0</v>
      </c>
      <c r="D144" s="164">
        <v>0</v>
      </c>
      <c r="E144" s="164">
        <v>0</v>
      </c>
      <c r="F144" s="164">
        <v>0</v>
      </c>
      <c r="G144" s="257">
        <f t="shared" si="13"/>
        <v>0</v>
      </c>
      <c r="H144" s="121"/>
    </row>
    <row r="145" spans="1:8" s="5" customFormat="1" ht="20.100000000000001" customHeight="1">
      <c r="A145" s="76" t="s">
        <v>124</v>
      </c>
      <c r="B145" s="258">
        <v>6040</v>
      </c>
      <c r="C145" s="164">
        <v>6035</v>
      </c>
      <c r="D145" s="164">
        <f>F145</f>
        <v>7299</v>
      </c>
      <c r="E145" s="164">
        <v>5900</v>
      </c>
      <c r="F145" s="164">
        <v>7299</v>
      </c>
      <c r="G145" s="257">
        <f t="shared" si="13"/>
        <v>1264</v>
      </c>
      <c r="H145" s="121">
        <f t="shared" si="14"/>
        <v>120.94449047224522</v>
      </c>
    </row>
    <row r="146" spans="1:8" s="5" customFormat="1" ht="20.100000000000001" customHeight="1">
      <c r="A146" s="75" t="s">
        <v>184</v>
      </c>
      <c r="B146" s="258">
        <v>6050</v>
      </c>
      <c r="C146" s="165">
        <v>6035</v>
      </c>
      <c r="D146" s="165">
        <f>SUM(D144:D145)</f>
        <v>7299</v>
      </c>
      <c r="E146" s="165">
        <f>SUM(E144:E145)</f>
        <v>5900</v>
      </c>
      <c r="F146" s="165">
        <f>SUM(F144:F145)</f>
        <v>7299</v>
      </c>
      <c r="G146" s="165">
        <f t="shared" si="13"/>
        <v>1264</v>
      </c>
      <c r="H146" s="122">
        <f t="shared" si="14"/>
        <v>120.94449047224522</v>
      </c>
    </row>
    <row r="147" spans="1:8" s="5" customFormat="1" ht="20.100000000000001" customHeight="1">
      <c r="A147" s="76" t="s">
        <v>381</v>
      </c>
      <c r="B147" s="258">
        <v>6060</v>
      </c>
      <c r="C147" s="164">
        <v>0</v>
      </c>
      <c r="D147" s="164">
        <v>0</v>
      </c>
      <c r="E147" s="164">
        <v>0</v>
      </c>
      <c r="F147" s="164">
        <v>0</v>
      </c>
      <c r="G147" s="257">
        <f t="shared" si="13"/>
        <v>0</v>
      </c>
      <c r="H147" s="121"/>
    </row>
    <row r="148" spans="1:8" s="5" customFormat="1">
      <c r="A148" s="76" t="s">
        <v>382</v>
      </c>
      <c r="B148" s="258">
        <v>6070</v>
      </c>
      <c r="C148" s="164">
        <v>0</v>
      </c>
      <c r="D148" s="164">
        <v>0</v>
      </c>
      <c r="E148" s="164">
        <v>0</v>
      </c>
      <c r="F148" s="164">
        <v>0</v>
      </c>
      <c r="G148" s="257">
        <f t="shared" si="13"/>
        <v>0</v>
      </c>
      <c r="H148" s="121"/>
    </row>
    <row r="149" spans="1:8" s="5" customFormat="1" ht="20.100000000000001" customHeight="1" thickBot="1">
      <c r="A149" s="75" t="s">
        <v>116</v>
      </c>
      <c r="B149" s="258">
        <v>6080</v>
      </c>
      <c r="C149" s="169">
        <v>3020611</v>
      </c>
      <c r="D149" s="169">
        <f>D143-D146</f>
        <v>114608</v>
      </c>
      <c r="E149" s="169">
        <f>E143-E146</f>
        <v>2959497.5</v>
      </c>
      <c r="F149" s="169">
        <v>114608</v>
      </c>
      <c r="G149" s="165">
        <f t="shared" si="13"/>
        <v>-2906003</v>
      </c>
      <c r="H149" s="122">
        <f t="shared" si="14"/>
        <v>3.7941992530650253</v>
      </c>
    </row>
    <row r="150" spans="1:8" s="5" customFormat="1" thickBot="1">
      <c r="A150" s="366" t="s">
        <v>294</v>
      </c>
      <c r="B150" s="367"/>
      <c r="C150" s="367"/>
      <c r="D150" s="367"/>
      <c r="E150" s="367"/>
      <c r="F150" s="367"/>
      <c r="G150" s="367"/>
      <c r="H150" s="368"/>
    </row>
    <row r="151" spans="1:8" s="5" customFormat="1" ht="20.100000000000001" customHeight="1">
      <c r="A151" s="94" t="s">
        <v>350</v>
      </c>
      <c r="B151" s="102" t="s">
        <v>295</v>
      </c>
      <c r="C151" s="170">
        <f>SUM(C152:C154)</f>
        <v>0</v>
      </c>
      <c r="D151" s="170">
        <f>SUM(D152:D154)</f>
        <v>0</v>
      </c>
      <c r="E151" s="170">
        <f>SUM(E152:E154)</f>
        <v>0</v>
      </c>
      <c r="F151" s="170">
        <f>SUM(F152:F154)</f>
        <v>0</v>
      </c>
      <c r="G151" s="169">
        <f t="shared" ref="G151:G158" si="18">F151-E151</f>
        <v>0</v>
      </c>
      <c r="H151" s="122"/>
    </row>
    <row r="152" spans="1:8" s="5" customFormat="1" ht="20.100000000000001" customHeight="1">
      <c r="A152" s="76" t="s">
        <v>383</v>
      </c>
      <c r="B152" s="103" t="s">
        <v>297</v>
      </c>
      <c r="C152" s="137">
        <v>0</v>
      </c>
      <c r="D152" s="137"/>
      <c r="E152" s="164">
        <f>'6.1. Інша інфо_1'!F71</f>
        <v>0</v>
      </c>
      <c r="F152" s="164">
        <f>'6.1. Інша інфо_1'!H71</f>
        <v>0</v>
      </c>
      <c r="G152" s="137">
        <f t="shared" si="18"/>
        <v>0</v>
      </c>
      <c r="H152" s="121"/>
    </row>
    <row r="153" spans="1:8" s="5" customFormat="1" ht="20.100000000000001" customHeight="1">
      <c r="A153" s="76" t="s">
        <v>384</v>
      </c>
      <c r="B153" s="103" t="s">
        <v>298</v>
      </c>
      <c r="C153" s="137">
        <v>0</v>
      </c>
      <c r="D153" s="137"/>
      <c r="E153" s="164">
        <f>'6.1. Інша інфо_1'!F74</f>
        <v>0</v>
      </c>
      <c r="F153" s="164">
        <f>'6.1. Інша інфо_1'!H74</f>
        <v>0</v>
      </c>
      <c r="G153" s="137">
        <f t="shared" si="18"/>
        <v>0</v>
      </c>
      <c r="H153" s="121"/>
    </row>
    <row r="154" spans="1:8" s="5" customFormat="1" ht="20.100000000000001" customHeight="1">
      <c r="A154" s="76" t="s">
        <v>385</v>
      </c>
      <c r="B154" s="103" t="s">
        <v>299</v>
      </c>
      <c r="C154" s="137">
        <v>0</v>
      </c>
      <c r="D154" s="137"/>
      <c r="E154" s="164">
        <f>'6.1. Інша інфо_1'!F77</f>
        <v>0</v>
      </c>
      <c r="F154" s="164">
        <f>'6.1. Інша інфо_1'!H77</f>
        <v>0</v>
      </c>
      <c r="G154" s="137">
        <f t="shared" si="18"/>
        <v>0</v>
      </c>
      <c r="H154" s="121"/>
    </row>
    <row r="155" spans="1:8" s="5" customFormat="1" ht="20.100000000000001" customHeight="1">
      <c r="A155" s="75" t="s">
        <v>351</v>
      </c>
      <c r="B155" s="103" t="s">
        <v>296</v>
      </c>
      <c r="C155" s="150">
        <f>SUM(C156:C158)</f>
        <v>0</v>
      </c>
      <c r="D155" s="150">
        <f>SUM(D156:D158)</f>
        <v>0</v>
      </c>
      <c r="E155" s="150">
        <f>SUM(E156:E158)</f>
        <v>0</v>
      </c>
      <c r="F155" s="150">
        <f>SUM(F156:F158)</f>
        <v>0</v>
      </c>
      <c r="G155" s="165">
        <f t="shared" si="18"/>
        <v>0</v>
      </c>
      <c r="H155" s="122"/>
    </row>
    <row r="156" spans="1:8" s="5" customFormat="1" ht="20.100000000000001" customHeight="1">
      <c r="A156" s="76" t="s">
        <v>383</v>
      </c>
      <c r="B156" s="103" t="s">
        <v>300</v>
      </c>
      <c r="C156" s="137">
        <v>0</v>
      </c>
      <c r="D156" s="137"/>
      <c r="E156" s="164">
        <f>'6.1. Інша інфо_1'!J71</f>
        <v>0</v>
      </c>
      <c r="F156" s="164">
        <f>'6.1. Інша інфо_1'!L71</f>
        <v>0</v>
      </c>
      <c r="G156" s="137">
        <f t="shared" si="18"/>
        <v>0</v>
      </c>
      <c r="H156" s="121"/>
    </row>
    <row r="157" spans="1:8" s="5" customFormat="1" ht="20.100000000000001" customHeight="1">
      <c r="A157" s="76" t="s">
        <v>384</v>
      </c>
      <c r="B157" s="103" t="s">
        <v>301</v>
      </c>
      <c r="C157" s="137">
        <v>0</v>
      </c>
      <c r="D157" s="137"/>
      <c r="E157" s="164">
        <f>'6.1. Інша інфо_1'!J74</f>
        <v>0</v>
      </c>
      <c r="F157" s="164">
        <f>'6.1. Інша інфо_1'!L74</f>
        <v>0</v>
      </c>
      <c r="G157" s="137">
        <f t="shared" si="18"/>
        <v>0</v>
      </c>
      <c r="H157" s="121"/>
    </row>
    <row r="158" spans="1:8" s="5" customFormat="1" ht="20.100000000000001" customHeight="1" thickBot="1">
      <c r="A158" s="100" t="s">
        <v>385</v>
      </c>
      <c r="B158" s="104" t="s">
        <v>302</v>
      </c>
      <c r="C158" s="137">
        <v>0</v>
      </c>
      <c r="D158" s="137"/>
      <c r="E158" s="164">
        <f>'6.1. Інша інфо_1'!J77</f>
        <v>0</v>
      </c>
      <c r="F158" s="164">
        <f>'6.1. Інша інфо_1'!L77</f>
        <v>0</v>
      </c>
      <c r="G158" s="137">
        <f t="shared" si="18"/>
        <v>0</v>
      </c>
      <c r="H158" s="121"/>
    </row>
    <row r="159" spans="1:8" s="5" customFormat="1" ht="27.9" customHeight="1" thickBot="1">
      <c r="A159" s="359" t="s">
        <v>303</v>
      </c>
      <c r="B159" s="360"/>
      <c r="C159" s="360"/>
      <c r="D159" s="360"/>
      <c r="E159" s="360"/>
      <c r="F159" s="360"/>
      <c r="G159" s="360"/>
      <c r="H159" s="361"/>
    </row>
    <row r="160" spans="1:8" s="5" customFormat="1" ht="43.5" customHeight="1">
      <c r="A160" s="75" t="s">
        <v>333</v>
      </c>
      <c r="B160" s="103" t="s">
        <v>304</v>
      </c>
      <c r="C160" s="165">
        <f>SUM(C163:C165)</f>
        <v>225</v>
      </c>
      <c r="D160" s="165">
        <f>SUM(D163:D165)</f>
        <v>222</v>
      </c>
      <c r="E160" s="165">
        <f>SUM(E163:E165)</f>
        <v>226</v>
      </c>
      <c r="F160" s="165">
        <f>SUM(F163:F165)</f>
        <v>222</v>
      </c>
      <c r="G160" s="165">
        <f>F160-E160</f>
        <v>-4</v>
      </c>
      <c r="H160" s="122">
        <f t="shared" ref="H160" si="19">(F160/E160)*100</f>
        <v>98.230088495575217</v>
      </c>
    </row>
    <row r="161" spans="1:9" s="235" customFormat="1" ht="18.75" customHeight="1">
      <c r="A161" s="76" t="s">
        <v>510</v>
      </c>
      <c r="B161" s="103" t="s">
        <v>305</v>
      </c>
      <c r="C161" s="165" t="s">
        <v>521</v>
      </c>
      <c r="D161" s="165" t="s">
        <v>521</v>
      </c>
      <c r="E161" s="165" t="s">
        <v>521</v>
      </c>
      <c r="F161" s="165" t="s">
        <v>521</v>
      </c>
      <c r="G161" s="165" t="s">
        <v>521</v>
      </c>
      <c r="H161" s="165" t="s">
        <v>521</v>
      </c>
    </row>
    <row r="162" spans="1:9" s="235" customFormat="1" ht="18.75" customHeight="1">
      <c r="A162" s="76" t="s">
        <v>511</v>
      </c>
      <c r="B162" s="103" t="s">
        <v>306</v>
      </c>
      <c r="C162" s="165" t="s">
        <v>521</v>
      </c>
      <c r="D162" s="165" t="s">
        <v>521</v>
      </c>
      <c r="E162" s="165" t="s">
        <v>521</v>
      </c>
      <c r="F162" s="165" t="s">
        <v>521</v>
      </c>
      <c r="G162" s="165" t="s">
        <v>521</v>
      </c>
      <c r="H162" s="165" t="s">
        <v>521</v>
      </c>
    </row>
    <row r="163" spans="1:9" s="5" customFormat="1">
      <c r="A163" s="261" t="s">
        <v>512</v>
      </c>
      <c r="B163" s="103" t="s">
        <v>307</v>
      </c>
      <c r="C163" s="257">
        <v>1</v>
      </c>
      <c r="D163" s="257">
        <f>F163</f>
        <v>1</v>
      </c>
      <c r="E163" s="257">
        <f>'6.1. Інша інфо_1'!F14</f>
        <v>1</v>
      </c>
      <c r="F163" s="257">
        <f>'6.1. Інша інфо_1'!I14</f>
        <v>1</v>
      </c>
      <c r="G163" s="257">
        <f>F163-E163</f>
        <v>0</v>
      </c>
      <c r="H163" s="121">
        <f>(F163/E163)*100</f>
        <v>100</v>
      </c>
    </row>
    <row r="164" spans="1:9" s="5" customFormat="1">
      <c r="A164" s="261" t="s">
        <v>195</v>
      </c>
      <c r="B164" s="103" t="s">
        <v>508</v>
      </c>
      <c r="C164" s="257">
        <v>47</v>
      </c>
      <c r="D164" s="257">
        <f>F164</f>
        <v>45</v>
      </c>
      <c r="E164" s="257">
        <f>'6.1. Інша інфо_1'!F15</f>
        <v>48</v>
      </c>
      <c r="F164" s="257">
        <f>'6.1. Інша інфо_1'!I15</f>
        <v>45</v>
      </c>
      <c r="G164" s="257">
        <f t="shared" ref="G164:G172" si="20">F164-E164</f>
        <v>-3</v>
      </c>
      <c r="H164" s="121">
        <f t="shared" ref="H164:H172" si="21">(F164/E164)*100</f>
        <v>93.75</v>
      </c>
    </row>
    <row r="165" spans="1:9" s="5" customFormat="1">
      <c r="A165" s="261" t="s">
        <v>196</v>
      </c>
      <c r="B165" s="103" t="s">
        <v>509</v>
      </c>
      <c r="C165" s="257">
        <v>177</v>
      </c>
      <c r="D165" s="257">
        <f>F165</f>
        <v>176</v>
      </c>
      <c r="E165" s="257">
        <f>'6.1. Інша інфо_1'!F16</f>
        <v>177</v>
      </c>
      <c r="F165" s="257">
        <f>'6.1. Інша інфо_1'!I16</f>
        <v>176</v>
      </c>
      <c r="G165" s="257">
        <f t="shared" si="20"/>
        <v>-1</v>
      </c>
      <c r="H165" s="121">
        <f t="shared" si="21"/>
        <v>99.435028248587571</v>
      </c>
    </row>
    <row r="166" spans="1:9" s="5" customFormat="1" ht="20.100000000000001" customHeight="1">
      <c r="A166" s="75" t="s">
        <v>5</v>
      </c>
      <c r="B166" s="103" t="s">
        <v>308</v>
      </c>
      <c r="C166" s="165">
        <f>'6.1. Інша інфо_1'!C17:E17</f>
        <v>5139</v>
      </c>
      <c r="D166" s="165">
        <f>F166</f>
        <v>5788.4</v>
      </c>
      <c r="E166" s="165">
        <f>E76</f>
        <v>5762.9</v>
      </c>
      <c r="F166" s="165">
        <f>F76</f>
        <v>5788.4</v>
      </c>
      <c r="G166" s="165">
        <f t="shared" si="20"/>
        <v>25.5</v>
      </c>
      <c r="H166" s="122">
        <f t="shared" si="21"/>
        <v>100.44248555414808</v>
      </c>
    </row>
    <row r="167" spans="1:9" s="5" customFormat="1" ht="34.799999999999997">
      <c r="A167" s="75" t="s">
        <v>245</v>
      </c>
      <c r="B167" s="103" t="s">
        <v>309</v>
      </c>
      <c r="C167" s="165">
        <f>'6.1. Інша інфо_1'!C29:E29</f>
        <v>7613.333333333333</v>
      </c>
      <c r="D167" s="165">
        <f>F167</f>
        <v>8691.2912912912907</v>
      </c>
      <c r="E167" s="165">
        <f>'6.1. Інша інфо_1'!F29</f>
        <v>8499.8525073746314</v>
      </c>
      <c r="F167" s="165">
        <f>'6.1. Інша інфо_1'!I29</f>
        <v>8691.2912912912907</v>
      </c>
      <c r="G167" s="165">
        <f t="shared" si="20"/>
        <v>191.4387839166593</v>
      </c>
      <c r="H167" s="122">
        <f t="shared" si="21"/>
        <v>102.25226006863724</v>
      </c>
    </row>
    <row r="168" spans="1:9" s="235" customFormat="1">
      <c r="A168" s="76" t="s">
        <v>510</v>
      </c>
      <c r="B168" s="103" t="s">
        <v>310</v>
      </c>
      <c r="C168" s="165" t="s">
        <v>521</v>
      </c>
      <c r="D168" s="165" t="s">
        <v>521</v>
      </c>
      <c r="E168" s="165" t="s">
        <v>521</v>
      </c>
      <c r="F168" s="165" t="s">
        <v>521</v>
      </c>
      <c r="G168" s="165" t="s">
        <v>521</v>
      </c>
      <c r="H168" s="165" t="s">
        <v>521</v>
      </c>
    </row>
    <row r="169" spans="1:9" s="235" customFormat="1">
      <c r="A169" s="76" t="s">
        <v>511</v>
      </c>
      <c r="B169" s="103" t="s">
        <v>311</v>
      </c>
      <c r="C169" s="165" t="s">
        <v>521</v>
      </c>
      <c r="D169" s="165" t="s">
        <v>521</v>
      </c>
      <c r="E169" s="165" t="s">
        <v>521</v>
      </c>
      <c r="F169" s="165" t="s">
        <v>521</v>
      </c>
      <c r="G169" s="165" t="s">
        <v>521</v>
      </c>
      <c r="H169" s="165" t="s">
        <v>521</v>
      </c>
    </row>
    <row r="170" spans="1:9" s="5" customFormat="1" ht="20.100000000000001" customHeight="1">
      <c r="A170" s="261" t="s">
        <v>512</v>
      </c>
      <c r="B170" s="103" t="s">
        <v>312</v>
      </c>
      <c r="C170" s="257">
        <f>'6.1. Інша інфо_1'!C32:E32</f>
        <v>24138</v>
      </c>
      <c r="D170" s="257">
        <f>F170</f>
        <v>17500</v>
      </c>
      <c r="E170" s="164">
        <f>'6.1. Інша інфо_1'!F32</f>
        <v>27000</v>
      </c>
      <c r="F170" s="164">
        <f>'6.1. Інша інфо_1'!I32</f>
        <v>17500</v>
      </c>
      <c r="G170" s="257">
        <f t="shared" si="20"/>
        <v>-9500</v>
      </c>
      <c r="H170" s="121">
        <f t="shared" si="21"/>
        <v>64.81481481481481</v>
      </c>
    </row>
    <row r="171" spans="1:9" s="5" customFormat="1" ht="20.100000000000001" customHeight="1">
      <c r="A171" s="261" t="s">
        <v>195</v>
      </c>
      <c r="B171" s="103" t="s">
        <v>513</v>
      </c>
      <c r="C171" s="137">
        <f>'6.1. Інша інфо_1'!C36:E36</f>
        <v>10584.39716312057</v>
      </c>
      <c r="D171" s="226">
        <f>F171</f>
        <v>12289.62962962963</v>
      </c>
      <c r="E171" s="164">
        <f>'6.1. Інша інфо_1'!F36</f>
        <v>11495.138888888889</v>
      </c>
      <c r="F171" s="164">
        <f>'6.1. Інша інфо_1'!I36</f>
        <v>12289.62962962963</v>
      </c>
      <c r="G171" s="137">
        <f t="shared" si="20"/>
        <v>794.49074074074088</v>
      </c>
      <c r="H171" s="121">
        <f t="shared" si="21"/>
        <v>106.91153668015869</v>
      </c>
    </row>
    <row r="172" spans="1:9" s="5" customFormat="1" ht="20.100000000000001" customHeight="1">
      <c r="A172" s="261" t="s">
        <v>524</v>
      </c>
      <c r="B172" s="103" t="s">
        <v>514</v>
      </c>
      <c r="C172" s="287">
        <f>'6.1. Інша інфо_1'!C37:E37</f>
        <v>6731.073446327684</v>
      </c>
      <c r="D172" s="243">
        <f>F172</f>
        <v>7721.2121212121219</v>
      </c>
      <c r="E172" s="164">
        <f>'6.1. Інша інфо_1'!F37</f>
        <v>7583.0508474576272</v>
      </c>
      <c r="F172" s="164">
        <f>'6.1. Інша інфо_1'!I37</f>
        <v>7721.2121212121219</v>
      </c>
      <c r="G172" s="137">
        <f t="shared" si="20"/>
        <v>138.16127375449469</v>
      </c>
      <c r="H172" s="121">
        <f t="shared" si="21"/>
        <v>101.82197477682502</v>
      </c>
    </row>
    <row r="173" spans="1:9" s="5" customFormat="1" ht="20.100000000000001" customHeight="1">
      <c r="A173" s="27"/>
      <c r="B173" s="119"/>
      <c r="C173" s="133"/>
      <c r="D173" s="133"/>
      <c r="E173" s="120"/>
      <c r="F173" s="120"/>
      <c r="G173" s="120"/>
      <c r="H173" s="120"/>
    </row>
    <row r="174" spans="1:9" s="5" customFormat="1" ht="20.100000000000001" customHeight="1">
      <c r="A174" s="242"/>
      <c r="B174" s="119"/>
      <c r="C174" s="133"/>
      <c r="D174" s="133"/>
      <c r="E174" s="120"/>
      <c r="F174" s="120"/>
      <c r="G174" s="120"/>
      <c r="H174" s="120"/>
    </row>
    <row r="175" spans="1:9">
      <c r="A175" s="58"/>
    </row>
    <row r="176" spans="1:9" s="134" customFormat="1" ht="27.75" customHeight="1">
      <c r="A176" s="50" t="s">
        <v>492</v>
      </c>
      <c r="B176" s="1"/>
      <c r="C176" s="362" t="s">
        <v>89</v>
      </c>
      <c r="D176" s="362"/>
      <c r="E176" s="69"/>
      <c r="F176" s="363" t="s">
        <v>493</v>
      </c>
      <c r="G176" s="363"/>
      <c r="H176" s="363"/>
      <c r="I176" s="190"/>
    </row>
    <row r="177" spans="1:9" s="138" customFormat="1">
      <c r="A177" s="132" t="s">
        <v>212</v>
      </c>
      <c r="B177" s="134"/>
      <c r="C177" s="364" t="s">
        <v>211</v>
      </c>
      <c r="D177" s="364"/>
      <c r="E177" s="155"/>
      <c r="F177" s="365" t="s">
        <v>85</v>
      </c>
      <c r="G177" s="365"/>
      <c r="H177" s="365"/>
      <c r="I177" s="191"/>
    </row>
    <row r="178" spans="1:9">
      <c r="A178" s="58"/>
    </row>
    <row r="179" spans="1:9">
      <c r="A179" s="58"/>
    </row>
    <row r="180" spans="1:9">
      <c r="A180" s="58"/>
    </row>
    <row r="181" spans="1:9">
      <c r="A181" s="58"/>
    </row>
    <row r="182" spans="1:9">
      <c r="A182" s="58"/>
    </row>
    <row r="183" spans="1:9">
      <c r="A183" s="58"/>
    </row>
    <row r="184" spans="1:9">
      <c r="A184" s="58"/>
    </row>
    <row r="185" spans="1:9">
      <c r="A185" s="58"/>
    </row>
    <row r="186" spans="1:9">
      <c r="A186" s="58"/>
    </row>
    <row r="187" spans="1:9">
      <c r="A187" s="58"/>
    </row>
    <row r="188" spans="1:9">
      <c r="A188" s="58"/>
    </row>
    <row r="189" spans="1:9">
      <c r="A189" s="58"/>
    </row>
    <row r="190" spans="1:9">
      <c r="A190" s="58"/>
    </row>
    <row r="191" spans="1:9">
      <c r="A191" s="58"/>
    </row>
    <row r="192" spans="1:9">
      <c r="A192" s="58"/>
    </row>
    <row r="193" spans="1:1">
      <c r="A193" s="58"/>
    </row>
    <row r="194" spans="1:1">
      <c r="A194" s="58"/>
    </row>
    <row r="195" spans="1:1">
      <c r="A195" s="58"/>
    </row>
    <row r="196" spans="1:1">
      <c r="A196" s="58"/>
    </row>
    <row r="197" spans="1:1">
      <c r="A197" s="58"/>
    </row>
    <row r="198" spans="1:1">
      <c r="A198" s="58"/>
    </row>
    <row r="199" spans="1:1">
      <c r="A199" s="58"/>
    </row>
    <row r="200" spans="1:1">
      <c r="A200" s="58"/>
    </row>
    <row r="201" spans="1:1">
      <c r="A201" s="58"/>
    </row>
    <row r="202" spans="1:1">
      <c r="A202" s="58"/>
    </row>
    <row r="203" spans="1:1">
      <c r="A203" s="58"/>
    </row>
    <row r="204" spans="1:1">
      <c r="A204" s="58"/>
    </row>
    <row r="205" spans="1:1">
      <c r="A205" s="58"/>
    </row>
    <row r="206" spans="1:1">
      <c r="A206" s="58"/>
    </row>
    <row r="207" spans="1:1">
      <c r="A207" s="58"/>
    </row>
    <row r="208" spans="1:1">
      <c r="A208" s="58"/>
    </row>
    <row r="209" spans="1:1">
      <c r="A209" s="58"/>
    </row>
    <row r="210" spans="1:1">
      <c r="A210" s="58"/>
    </row>
    <row r="211" spans="1:1">
      <c r="A211" s="58"/>
    </row>
    <row r="212" spans="1:1">
      <c r="A212" s="58"/>
    </row>
    <row r="213" spans="1:1">
      <c r="A213" s="58"/>
    </row>
    <row r="214" spans="1:1">
      <c r="A214" s="58"/>
    </row>
    <row r="215" spans="1:1">
      <c r="A215" s="58"/>
    </row>
    <row r="216" spans="1:1">
      <c r="A216" s="58"/>
    </row>
    <row r="217" spans="1:1">
      <c r="A217" s="58"/>
    </row>
    <row r="218" spans="1:1">
      <c r="A218" s="58"/>
    </row>
    <row r="219" spans="1:1">
      <c r="A219" s="58"/>
    </row>
    <row r="220" spans="1:1">
      <c r="A220" s="58"/>
    </row>
    <row r="221" spans="1:1">
      <c r="A221" s="58"/>
    </row>
    <row r="222" spans="1:1">
      <c r="A222" s="58"/>
    </row>
    <row r="223" spans="1:1">
      <c r="A223" s="58"/>
    </row>
    <row r="224" spans="1:1">
      <c r="A224" s="58"/>
    </row>
    <row r="225" spans="1:1">
      <c r="A225" s="58"/>
    </row>
    <row r="226" spans="1:1">
      <c r="A226" s="58"/>
    </row>
    <row r="227" spans="1:1">
      <c r="A227" s="58"/>
    </row>
    <row r="228" spans="1:1">
      <c r="A228" s="58"/>
    </row>
    <row r="229" spans="1:1">
      <c r="A229" s="58"/>
    </row>
    <row r="230" spans="1:1">
      <c r="A230" s="58"/>
    </row>
    <row r="231" spans="1:1">
      <c r="A231" s="58"/>
    </row>
    <row r="232" spans="1:1">
      <c r="A232" s="58"/>
    </row>
    <row r="233" spans="1:1">
      <c r="A233" s="58"/>
    </row>
    <row r="234" spans="1:1">
      <c r="A234" s="58"/>
    </row>
    <row r="235" spans="1:1">
      <c r="A235" s="58"/>
    </row>
    <row r="236" spans="1:1">
      <c r="A236" s="58"/>
    </row>
    <row r="237" spans="1:1">
      <c r="A237" s="58"/>
    </row>
    <row r="238" spans="1:1">
      <c r="A238" s="58"/>
    </row>
    <row r="239" spans="1:1">
      <c r="A239" s="58"/>
    </row>
    <row r="240" spans="1:1">
      <c r="A240" s="58"/>
    </row>
    <row r="241" spans="1:1">
      <c r="A241" s="58"/>
    </row>
    <row r="242" spans="1:1">
      <c r="A242" s="58"/>
    </row>
    <row r="243" spans="1:1">
      <c r="A243" s="58"/>
    </row>
    <row r="244" spans="1:1">
      <c r="A244" s="58"/>
    </row>
    <row r="245" spans="1:1">
      <c r="A245" s="58"/>
    </row>
    <row r="246" spans="1:1">
      <c r="A246" s="58"/>
    </row>
    <row r="247" spans="1:1">
      <c r="A247" s="58"/>
    </row>
    <row r="248" spans="1:1">
      <c r="A248" s="58"/>
    </row>
    <row r="249" spans="1:1">
      <c r="A249" s="58"/>
    </row>
    <row r="250" spans="1:1">
      <c r="A250" s="58"/>
    </row>
    <row r="251" spans="1:1">
      <c r="A251" s="58"/>
    </row>
    <row r="252" spans="1:1">
      <c r="A252" s="58"/>
    </row>
    <row r="253" spans="1:1">
      <c r="A253" s="58"/>
    </row>
    <row r="254" spans="1:1">
      <c r="A254" s="58"/>
    </row>
    <row r="255" spans="1:1">
      <c r="A255" s="58"/>
    </row>
    <row r="256" spans="1:1">
      <c r="A256" s="58"/>
    </row>
    <row r="257" spans="1:1">
      <c r="A257" s="58"/>
    </row>
    <row r="258" spans="1:1">
      <c r="A258" s="58"/>
    </row>
    <row r="259" spans="1:1">
      <c r="A259" s="58"/>
    </row>
    <row r="260" spans="1:1">
      <c r="A260" s="58"/>
    </row>
    <row r="261" spans="1:1">
      <c r="A261" s="58"/>
    </row>
    <row r="262" spans="1:1">
      <c r="A262" s="58"/>
    </row>
    <row r="263" spans="1:1">
      <c r="A263" s="58"/>
    </row>
    <row r="264" spans="1:1">
      <c r="A264" s="58"/>
    </row>
    <row r="265" spans="1:1">
      <c r="A265" s="58"/>
    </row>
    <row r="266" spans="1:1">
      <c r="A266" s="58"/>
    </row>
    <row r="267" spans="1:1">
      <c r="A267" s="58"/>
    </row>
    <row r="268" spans="1:1">
      <c r="A268" s="58"/>
    </row>
    <row r="269" spans="1:1">
      <c r="A269" s="58"/>
    </row>
    <row r="270" spans="1:1">
      <c r="A270" s="58"/>
    </row>
    <row r="271" spans="1:1">
      <c r="A271" s="58"/>
    </row>
    <row r="272" spans="1:1">
      <c r="A272" s="58"/>
    </row>
    <row r="273" spans="1:1">
      <c r="A273" s="58"/>
    </row>
    <row r="274" spans="1:1">
      <c r="A274" s="58"/>
    </row>
    <row r="275" spans="1:1">
      <c r="A275" s="58"/>
    </row>
    <row r="276" spans="1:1">
      <c r="A276" s="58"/>
    </row>
    <row r="277" spans="1:1">
      <c r="A277" s="58"/>
    </row>
    <row r="278" spans="1:1">
      <c r="A278" s="58"/>
    </row>
    <row r="279" spans="1:1">
      <c r="A279" s="58"/>
    </row>
    <row r="280" spans="1:1">
      <c r="A280" s="58"/>
    </row>
    <row r="281" spans="1:1">
      <c r="A281" s="58"/>
    </row>
    <row r="282" spans="1:1">
      <c r="A282" s="58"/>
    </row>
    <row r="283" spans="1:1">
      <c r="A283" s="58"/>
    </row>
    <row r="284" spans="1:1">
      <c r="A284" s="58"/>
    </row>
    <row r="285" spans="1:1">
      <c r="A285" s="58"/>
    </row>
    <row r="286" spans="1:1">
      <c r="A286" s="58"/>
    </row>
    <row r="287" spans="1:1">
      <c r="A287" s="58"/>
    </row>
    <row r="288" spans="1:1">
      <c r="A288" s="58"/>
    </row>
    <row r="289" spans="1:1">
      <c r="A289" s="58"/>
    </row>
    <row r="290" spans="1:1">
      <c r="A290" s="58"/>
    </row>
    <row r="291" spans="1:1">
      <c r="A291" s="58"/>
    </row>
    <row r="292" spans="1:1">
      <c r="A292" s="58"/>
    </row>
    <row r="293" spans="1:1">
      <c r="A293" s="58"/>
    </row>
    <row r="294" spans="1:1">
      <c r="A294" s="58"/>
    </row>
    <row r="295" spans="1:1">
      <c r="A295" s="58"/>
    </row>
    <row r="296" spans="1:1">
      <c r="A296" s="58"/>
    </row>
    <row r="297" spans="1:1">
      <c r="A297" s="58"/>
    </row>
    <row r="298" spans="1:1">
      <c r="A298" s="58"/>
    </row>
    <row r="299" spans="1:1">
      <c r="A299" s="58"/>
    </row>
    <row r="300" spans="1:1">
      <c r="A300" s="58"/>
    </row>
    <row r="301" spans="1:1">
      <c r="A301" s="58"/>
    </row>
    <row r="302" spans="1:1">
      <c r="A302" s="58"/>
    </row>
    <row r="303" spans="1:1">
      <c r="A303" s="58"/>
    </row>
    <row r="304" spans="1:1">
      <c r="A304" s="58"/>
    </row>
    <row r="305" spans="1:1">
      <c r="A305" s="58"/>
    </row>
    <row r="306" spans="1:1">
      <c r="A306" s="58"/>
    </row>
    <row r="307" spans="1:1">
      <c r="A307" s="58"/>
    </row>
    <row r="308" spans="1:1">
      <c r="A308" s="58"/>
    </row>
    <row r="309" spans="1:1">
      <c r="A309" s="58"/>
    </row>
    <row r="310" spans="1:1">
      <c r="A310" s="58"/>
    </row>
    <row r="311" spans="1:1">
      <c r="A311" s="58"/>
    </row>
    <row r="312" spans="1:1">
      <c r="A312" s="58"/>
    </row>
    <row r="313" spans="1:1">
      <c r="A313" s="58"/>
    </row>
    <row r="314" spans="1:1">
      <c r="A314" s="58"/>
    </row>
    <row r="315" spans="1:1">
      <c r="A315" s="58"/>
    </row>
    <row r="316" spans="1:1">
      <c r="A316" s="58"/>
    </row>
    <row r="317" spans="1:1">
      <c r="A317" s="58"/>
    </row>
    <row r="318" spans="1:1">
      <c r="A318" s="58"/>
    </row>
    <row r="319" spans="1:1">
      <c r="A319" s="58"/>
    </row>
    <row r="320" spans="1:1">
      <c r="A320" s="58"/>
    </row>
    <row r="321" spans="1:1">
      <c r="A321" s="58"/>
    </row>
    <row r="322" spans="1:1">
      <c r="A322" s="58"/>
    </row>
    <row r="323" spans="1:1">
      <c r="A323" s="58"/>
    </row>
    <row r="324" spans="1:1">
      <c r="A324" s="58"/>
    </row>
    <row r="325" spans="1:1">
      <c r="A325" s="58"/>
    </row>
    <row r="326" spans="1:1">
      <c r="A326" s="58"/>
    </row>
    <row r="327" spans="1:1">
      <c r="A327" s="58"/>
    </row>
    <row r="328" spans="1:1">
      <c r="A328" s="58"/>
    </row>
    <row r="329" spans="1:1">
      <c r="A329" s="58"/>
    </row>
    <row r="330" spans="1:1">
      <c r="A330" s="58"/>
    </row>
    <row r="331" spans="1:1">
      <c r="A331" s="58"/>
    </row>
    <row r="332" spans="1:1">
      <c r="A332" s="58"/>
    </row>
    <row r="333" spans="1:1">
      <c r="A333" s="58"/>
    </row>
    <row r="334" spans="1:1">
      <c r="A334" s="58"/>
    </row>
    <row r="335" spans="1:1">
      <c r="A335" s="58"/>
    </row>
    <row r="336" spans="1:1">
      <c r="A336" s="45"/>
    </row>
    <row r="337" spans="1:1">
      <c r="A337" s="45"/>
    </row>
    <row r="338" spans="1:1">
      <c r="A338" s="45"/>
    </row>
    <row r="339" spans="1:1">
      <c r="A339" s="45"/>
    </row>
    <row r="340" spans="1:1">
      <c r="A340" s="45"/>
    </row>
    <row r="341" spans="1:1">
      <c r="A341" s="45"/>
    </row>
    <row r="342" spans="1:1">
      <c r="A342" s="45"/>
    </row>
    <row r="343" spans="1:1">
      <c r="A343" s="45"/>
    </row>
    <row r="344" spans="1:1">
      <c r="A344" s="45"/>
    </row>
    <row r="345" spans="1:1">
      <c r="A345" s="45"/>
    </row>
    <row r="346" spans="1:1">
      <c r="A346" s="45"/>
    </row>
    <row r="347" spans="1:1">
      <c r="A347" s="45"/>
    </row>
    <row r="348" spans="1:1">
      <c r="A348" s="45"/>
    </row>
    <row r="349" spans="1:1">
      <c r="A349" s="45"/>
    </row>
    <row r="350" spans="1:1">
      <c r="A350" s="45"/>
    </row>
    <row r="351" spans="1:1">
      <c r="A351" s="45"/>
    </row>
    <row r="352" spans="1:1">
      <c r="A352" s="45"/>
    </row>
    <row r="353" spans="1:1">
      <c r="A353" s="45"/>
    </row>
    <row r="354" spans="1:1">
      <c r="A354" s="45"/>
    </row>
    <row r="355" spans="1:1">
      <c r="A355" s="45"/>
    </row>
    <row r="356" spans="1:1">
      <c r="A356" s="45"/>
    </row>
    <row r="357" spans="1:1">
      <c r="A357" s="45"/>
    </row>
    <row r="358" spans="1:1">
      <c r="A358" s="45"/>
    </row>
    <row r="359" spans="1:1">
      <c r="A359" s="45"/>
    </row>
    <row r="360" spans="1:1">
      <c r="A360" s="45"/>
    </row>
    <row r="361" spans="1:1">
      <c r="A361" s="45"/>
    </row>
    <row r="362" spans="1:1">
      <c r="A362" s="45"/>
    </row>
    <row r="363" spans="1:1">
      <c r="A363" s="45"/>
    </row>
    <row r="364" spans="1:1">
      <c r="A364" s="45"/>
    </row>
    <row r="365" spans="1:1">
      <c r="A365" s="45"/>
    </row>
    <row r="366" spans="1:1">
      <c r="A366" s="45"/>
    </row>
    <row r="367" spans="1:1">
      <c r="A367" s="45"/>
    </row>
    <row r="368" spans="1:1">
      <c r="A368" s="45"/>
    </row>
    <row r="369" spans="1:1">
      <c r="A369" s="45"/>
    </row>
    <row r="370" spans="1:1">
      <c r="A370" s="45"/>
    </row>
    <row r="371" spans="1:1">
      <c r="A371" s="45"/>
    </row>
    <row r="372" spans="1:1">
      <c r="A372" s="45"/>
    </row>
    <row r="373" spans="1:1">
      <c r="A373" s="45"/>
    </row>
    <row r="374" spans="1:1">
      <c r="A374" s="45"/>
    </row>
    <row r="375" spans="1:1">
      <c r="A375" s="45"/>
    </row>
    <row r="376" spans="1:1">
      <c r="A376" s="45"/>
    </row>
    <row r="377" spans="1:1">
      <c r="A377" s="45"/>
    </row>
    <row r="378" spans="1:1">
      <c r="A378" s="45"/>
    </row>
    <row r="379" spans="1:1">
      <c r="A379" s="45"/>
    </row>
    <row r="380" spans="1:1">
      <c r="A380" s="45"/>
    </row>
    <row r="381" spans="1:1">
      <c r="A381" s="45"/>
    </row>
    <row r="382" spans="1:1">
      <c r="A382" s="45"/>
    </row>
    <row r="383" spans="1:1">
      <c r="A383" s="45"/>
    </row>
    <row r="384" spans="1:1">
      <c r="A384" s="45"/>
    </row>
    <row r="385" spans="1:1">
      <c r="A385" s="45"/>
    </row>
    <row r="386" spans="1:1">
      <c r="A386" s="45"/>
    </row>
    <row r="387" spans="1:1">
      <c r="A387" s="45"/>
    </row>
    <row r="388" spans="1:1">
      <c r="A388" s="45"/>
    </row>
    <row r="389" spans="1:1">
      <c r="A389" s="45"/>
    </row>
    <row r="390" spans="1:1">
      <c r="A390" s="45"/>
    </row>
    <row r="391" spans="1:1">
      <c r="A391" s="45"/>
    </row>
    <row r="392" spans="1:1">
      <c r="A392" s="45"/>
    </row>
    <row r="393" spans="1:1">
      <c r="A393" s="45"/>
    </row>
    <row r="394" spans="1:1">
      <c r="A394" s="45"/>
    </row>
    <row r="395" spans="1:1">
      <c r="A395" s="45"/>
    </row>
    <row r="396" spans="1:1">
      <c r="A396" s="45"/>
    </row>
    <row r="397" spans="1:1">
      <c r="A397" s="45"/>
    </row>
    <row r="398" spans="1:1">
      <c r="A398" s="45"/>
    </row>
    <row r="399" spans="1:1">
      <c r="A399" s="45"/>
    </row>
    <row r="400" spans="1:1">
      <c r="A400" s="45"/>
    </row>
    <row r="401" spans="1:1">
      <c r="A401" s="45"/>
    </row>
    <row r="402" spans="1:1">
      <c r="A402" s="45"/>
    </row>
    <row r="403" spans="1:1">
      <c r="A403" s="45"/>
    </row>
    <row r="404" spans="1:1">
      <c r="A404" s="45"/>
    </row>
    <row r="405" spans="1:1">
      <c r="A405" s="45"/>
    </row>
    <row r="406" spans="1:1">
      <c r="A406" s="45"/>
    </row>
    <row r="407" spans="1:1">
      <c r="A407" s="45"/>
    </row>
    <row r="408" spans="1:1">
      <c r="A408" s="45"/>
    </row>
    <row r="409" spans="1:1">
      <c r="A409" s="45"/>
    </row>
    <row r="410" spans="1:1">
      <c r="A410" s="45"/>
    </row>
    <row r="411" spans="1:1">
      <c r="A411" s="45"/>
    </row>
    <row r="412" spans="1:1">
      <c r="A412" s="45"/>
    </row>
    <row r="413" spans="1:1">
      <c r="A413" s="45"/>
    </row>
    <row r="414" spans="1:1">
      <c r="A414" s="45"/>
    </row>
    <row r="415" spans="1:1">
      <c r="A415" s="45"/>
    </row>
    <row r="416" spans="1:1">
      <c r="A416" s="45"/>
    </row>
    <row r="417" spans="1:1">
      <c r="A417" s="45"/>
    </row>
    <row r="418" spans="1:1">
      <c r="A418" s="45"/>
    </row>
    <row r="419" spans="1:1">
      <c r="A419" s="45"/>
    </row>
    <row r="420" spans="1:1">
      <c r="A420" s="45"/>
    </row>
    <row r="421" spans="1:1">
      <c r="A421" s="45"/>
    </row>
    <row r="422" spans="1:1">
      <c r="A422" s="45"/>
    </row>
    <row r="423" spans="1:1">
      <c r="A423" s="45"/>
    </row>
    <row r="424" spans="1:1">
      <c r="A424" s="45"/>
    </row>
    <row r="425" spans="1:1">
      <c r="A425" s="45"/>
    </row>
    <row r="426" spans="1:1">
      <c r="A426" s="45"/>
    </row>
    <row r="427" spans="1:1">
      <c r="A427" s="45"/>
    </row>
    <row r="428" spans="1:1">
      <c r="A428" s="45"/>
    </row>
    <row r="429" spans="1:1">
      <c r="A429" s="45"/>
    </row>
    <row r="430" spans="1:1">
      <c r="A430" s="45"/>
    </row>
    <row r="431" spans="1:1">
      <c r="A431" s="45"/>
    </row>
    <row r="432" spans="1:1">
      <c r="A432" s="45"/>
    </row>
    <row r="433" spans="1:1">
      <c r="A433" s="45"/>
    </row>
    <row r="434" spans="1:1">
      <c r="A434" s="45"/>
    </row>
    <row r="435" spans="1:1">
      <c r="A435" s="45"/>
    </row>
    <row r="436" spans="1:1">
      <c r="A436" s="45"/>
    </row>
    <row r="437" spans="1:1">
      <c r="A437" s="45"/>
    </row>
    <row r="438" spans="1:1">
      <c r="A438" s="45"/>
    </row>
    <row r="439" spans="1:1">
      <c r="A439" s="45"/>
    </row>
    <row r="440" spans="1:1">
      <c r="A440" s="45"/>
    </row>
    <row r="441" spans="1:1">
      <c r="A441" s="45"/>
    </row>
    <row r="442" spans="1:1">
      <c r="A442" s="45"/>
    </row>
    <row r="443" spans="1:1">
      <c r="A443" s="45"/>
    </row>
    <row r="444" spans="1:1">
      <c r="A444" s="45"/>
    </row>
    <row r="445" spans="1:1">
      <c r="A445" s="45"/>
    </row>
    <row r="446" spans="1:1">
      <c r="A446" s="45"/>
    </row>
    <row r="447" spans="1:1">
      <c r="A447" s="45"/>
    </row>
    <row r="448" spans="1:1">
      <c r="A448" s="45"/>
    </row>
    <row r="449" spans="1:1">
      <c r="A449" s="45"/>
    </row>
    <row r="450" spans="1:1">
      <c r="A450" s="45"/>
    </row>
    <row r="451" spans="1:1">
      <c r="A451" s="45"/>
    </row>
    <row r="452" spans="1:1">
      <c r="A452" s="45"/>
    </row>
    <row r="453" spans="1:1">
      <c r="A453" s="45"/>
    </row>
    <row r="454" spans="1:1">
      <c r="A454" s="45"/>
    </row>
    <row r="455" spans="1:1">
      <c r="A455" s="45"/>
    </row>
    <row r="456" spans="1:1">
      <c r="A456" s="45"/>
    </row>
    <row r="457" spans="1:1">
      <c r="A457" s="45"/>
    </row>
    <row r="458" spans="1:1">
      <c r="A458" s="45"/>
    </row>
    <row r="459" spans="1:1">
      <c r="A459" s="45"/>
    </row>
    <row r="460" spans="1:1">
      <c r="A460" s="45"/>
    </row>
    <row r="461" spans="1:1">
      <c r="A461" s="45"/>
    </row>
    <row r="462" spans="1:1">
      <c r="A462" s="45"/>
    </row>
    <row r="463" spans="1:1">
      <c r="A463" s="45"/>
    </row>
    <row r="464" spans="1:1">
      <c r="A464" s="45"/>
    </row>
    <row r="465" spans="1:1">
      <c r="A465" s="45"/>
    </row>
    <row r="466" spans="1:1">
      <c r="A466" s="45"/>
    </row>
    <row r="467" spans="1:1">
      <c r="A467" s="45"/>
    </row>
    <row r="468" spans="1:1">
      <c r="A468" s="45"/>
    </row>
    <row r="469" spans="1:1">
      <c r="A469" s="45"/>
    </row>
    <row r="470" spans="1:1">
      <c r="A470" s="45"/>
    </row>
    <row r="471" spans="1:1">
      <c r="A471" s="45"/>
    </row>
    <row r="472" spans="1:1">
      <c r="A472" s="45"/>
    </row>
    <row r="473" spans="1:1">
      <c r="A473" s="45"/>
    </row>
    <row r="474" spans="1:1">
      <c r="A474" s="45"/>
    </row>
    <row r="475" spans="1:1">
      <c r="A475" s="45"/>
    </row>
    <row r="476" spans="1:1">
      <c r="A476" s="45"/>
    </row>
    <row r="477" spans="1:1">
      <c r="A477" s="45"/>
    </row>
    <row r="478" spans="1:1">
      <c r="A478" s="45"/>
    </row>
    <row r="479" spans="1:1">
      <c r="A479" s="45"/>
    </row>
    <row r="480" spans="1:1">
      <c r="A480" s="45"/>
    </row>
    <row r="481" spans="1:1">
      <c r="A481" s="45"/>
    </row>
    <row r="482" spans="1:1">
      <c r="A482" s="45"/>
    </row>
    <row r="483" spans="1:1">
      <c r="A483" s="45"/>
    </row>
    <row r="484" spans="1:1">
      <c r="A484" s="45"/>
    </row>
    <row r="485" spans="1:1">
      <c r="A485" s="45"/>
    </row>
    <row r="486" spans="1:1">
      <c r="A486" s="45"/>
    </row>
    <row r="487" spans="1:1">
      <c r="A487" s="45"/>
    </row>
    <row r="488" spans="1:1">
      <c r="A488" s="45"/>
    </row>
    <row r="489" spans="1:1">
      <c r="A489" s="45"/>
    </row>
    <row r="490" spans="1:1">
      <c r="A490" s="45"/>
    </row>
    <row r="491" spans="1:1">
      <c r="A491" s="45"/>
    </row>
    <row r="492" spans="1:1">
      <c r="A492" s="45"/>
    </row>
    <row r="493" spans="1:1">
      <c r="A493" s="45"/>
    </row>
    <row r="494" spans="1:1">
      <c r="A494" s="45"/>
    </row>
    <row r="495" spans="1:1">
      <c r="A495" s="45"/>
    </row>
    <row r="496" spans="1:1">
      <c r="A496" s="45"/>
    </row>
    <row r="497" spans="1:1">
      <c r="A497" s="45"/>
    </row>
    <row r="498" spans="1:1">
      <c r="A498" s="45"/>
    </row>
    <row r="499" spans="1:1">
      <c r="A499" s="45"/>
    </row>
    <row r="500" spans="1:1">
      <c r="A500" s="45"/>
    </row>
    <row r="501" spans="1:1">
      <c r="A501" s="45"/>
    </row>
  </sheetData>
  <mergeCells count="42">
    <mergeCell ref="F1:H1"/>
    <mergeCell ref="F2:H2"/>
    <mergeCell ref="F3:H3"/>
    <mergeCell ref="F4:H4"/>
    <mergeCell ref="A26:H26"/>
    <mergeCell ref="B9:E9"/>
    <mergeCell ref="B10:E10"/>
    <mergeCell ref="B11:E11"/>
    <mergeCell ref="A23:H23"/>
    <mergeCell ref="F16:G16"/>
    <mergeCell ref="B16:E16"/>
    <mergeCell ref="F17:G17"/>
    <mergeCell ref="A25:H25"/>
    <mergeCell ref="B20:E20"/>
    <mergeCell ref="B17:E17"/>
    <mergeCell ref="B21:E21"/>
    <mergeCell ref="A95:H95"/>
    <mergeCell ref="A82:H82"/>
    <mergeCell ref="A33:H33"/>
    <mergeCell ref="A81:H81"/>
    <mergeCell ref="B12:E12"/>
    <mergeCell ref="B13:E13"/>
    <mergeCell ref="B14:E14"/>
    <mergeCell ref="B15:E15"/>
    <mergeCell ref="A28:H28"/>
    <mergeCell ref="C30:D30"/>
    <mergeCell ref="E30:H30"/>
    <mergeCell ref="B30:B31"/>
    <mergeCell ref="B18:E18"/>
    <mergeCell ref="B19:E19"/>
    <mergeCell ref="A24:H24"/>
    <mergeCell ref="A30:A31"/>
    <mergeCell ref="A109:H109"/>
    <mergeCell ref="A117:H117"/>
    <mergeCell ref="A130:H130"/>
    <mergeCell ref="A136:H136"/>
    <mergeCell ref="A150:H150"/>
    <mergeCell ref="A159:H159"/>
    <mergeCell ref="C176:D176"/>
    <mergeCell ref="F176:H176"/>
    <mergeCell ref="C177:D177"/>
    <mergeCell ref="F177:H177"/>
  </mergeCells>
  <phoneticPr fontId="3" type="noConversion"/>
  <pageMargins left="0.9" right="0.59055118110236227" top="0.78740157480314965" bottom="0.78740157480314965" header="0.31496062992125984" footer="0.19685039370078741"/>
  <pageSetup paperSize="9" scale="47" orientation="landscape" verticalDpi="300" r:id="rId1"/>
  <headerFooter alignWithMargins="0">
    <oddHeader>&amp;C
&amp;"Times New Roman,обычный"&amp;14 &amp;P&amp;R&amp;"Times New Roman,обычный"&amp;14Продовження додатка 3</oddHeader>
  </headerFooter>
  <rowBreaks count="3" manualBreakCount="3">
    <brk id="52" max="7" man="1"/>
    <brk id="94" max="7" man="1"/>
    <brk id="135" max="7" man="1"/>
  </rowBreaks>
  <ignoredErrors>
    <ignoredError sqref="H38 G131 C134:D134 H132 H34:H36 G110 H61 C131:D131 H135 H160 G51 H96 H110 H118 H131 H37 G38:G42 H44 H51 G48:G49 H50 H57 C51 C52 H52 G52 H83 H94 G112:G116 C132:D132 H133 G54:G60 H134 C133:D133 H137:H143 C135:D135 E133:F133 G134 E132:F132 G133 G132 G135 E134:F134 E135:F135 E131:F131 H170:H172 F170:G172 H163:H166 H47 H66 H69:H70 H73:H80 H145:H146 H149 H98 H104:H105 H107:H108 H112 H116 H121 H125 H128 F167:G167 H167" evalError="1"/>
    <ignoredError sqref="B119 B151:B158 B160 B166:B167" numberStoredAsText="1"/>
    <ignoredError sqref="E163:E165" formula="1"/>
    <ignoredError sqref="E170:E172 E167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M189"/>
  <sheetViews>
    <sheetView zoomScale="48" zoomScaleNormal="48" zoomScaleSheetLayoutView="75" workbookViewId="0">
      <pane xSplit="2" ySplit="6" topLeftCell="C7" activePane="bottomRight" state="frozen"/>
      <selection activeCell="A67" sqref="A67"/>
      <selection pane="topRight" activeCell="A67" sqref="A67"/>
      <selection pane="bottomLeft" activeCell="A67" sqref="A67"/>
      <selection pane="bottomRight" activeCell="I147" sqref="I147"/>
    </sheetView>
  </sheetViews>
  <sheetFormatPr defaultColWidth="9.109375" defaultRowHeight="18"/>
  <cols>
    <col min="1" max="1" width="91.6640625" style="302" customWidth="1"/>
    <col min="2" max="2" width="11.109375" style="294" customWidth="1"/>
    <col min="3" max="3" width="16.6640625" style="154" customWidth="1"/>
    <col min="4" max="4" width="15.77734375" style="154" customWidth="1"/>
    <col min="5" max="5" width="15.44140625" style="154" customWidth="1"/>
    <col min="6" max="6" width="16.21875" style="154" customWidth="1"/>
    <col min="7" max="7" width="18.44140625" style="154" customWidth="1"/>
    <col min="8" max="8" width="15.77734375" style="294" customWidth="1"/>
    <col min="9" max="9" width="68.88671875" style="294" customWidth="1"/>
    <col min="10" max="10" width="9.109375" style="302"/>
    <col min="11" max="13" width="16.21875" style="154" hidden="1" customWidth="1"/>
    <col min="14" max="16384" width="9.109375" style="302"/>
  </cols>
  <sheetData>
    <row r="1" spans="1:13">
      <c r="B1" s="291"/>
      <c r="C1" s="291"/>
      <c r="D1" s="291"/>
      <c r="E1" s="291"/>
      <c r="F1" s="291" t="s">
        <v>83</v>
      </c>
      <c r="G1" s="291"/>
      <c r="H1" s="291"/>
      <c r="I1" s="291"/>
      <c r="K1" s="302"/>
      <c r="L1" s="302"/>
      <c r="M1" s="302"/>
    </row>
    <row r="2" spans="1:13" ht="12.75" customHeight="1">
      <c r="A2" s="291"/>
    </row>
    <row r="3" spans="1:13" ht="39" customHeight="1">
      <c r="A3" s="293" t="s">
        <v>192</v>
      </c>
      <c r="B3" s="293" t="s">
        <v>18</v>
      </c>
      <c r="C3" s="380" t="s">
        <v>334</v>
      </c>
      <c r="D3" s="380"/>
      <c r="E3" s="390" t="s">
        <v>564</v>
      </c>
      <c r="F3" s="391"/>
      <c r="G3" s="391"/>
      <c r="H3" s="392"/>
      <c r="I3" s="298"/>
      <c r="K3" s="223"/>
      <c r="L3" s="223"/>
      <c r="M3" s="223"/>
    </row>
    <row r="4" spans="1:13">
      <c r="A4" s="293"/>
      <c r="B4" s="293"/>
      <c r="C4" s="311" t="s">
        <v>179</v>
      </c>
      <c r="D4" s="311" t="s">
        <v>180</v>
      </c>
      <c r="E4" s="311" t="s">
        <v>181</v>
      </c>
      <c r="F4" s="311" t="s">
        <v>168</v>
      </c>
      <c r="G4" s="324" t="s">
        <v>187</v>
      </c>
      <c r="H4" s="301" t="s">
        <v>188</v>
      </c>
      <c r="I4" s="293" t="s">
        <v>186</v>
      </c>
      <c r="K4" s="311"/>
      <c r="L4" s="311"/>
      <c r="M4" s="311"/>
    </row>
    <row r="5" spans="1:13" s="181" customFormat="1">
      <c r="A5" s="179">
        <v>1</v>
      </c>
      <c r="B5" s="179">
        <v>2</v>
      </c>
      <c r="C5" s="179">
        <v>6</v>
      </c>
      <c r="D5" s="179">
        <v>6</v>
      </c>
      <c r="E5" s="179">
        <v>5</v>
      </c>
      <c r="F5" s="179">
        <v>6</v>
      </c>
      <c r="G5" s="179">
        <v>7</v>
      </c>
      <c r="H5" s="179">
        <v>8</v>
      </c>
      <c r="I5" s="179">
        <v>9</v>
      </c>
      <c r="K5" s="179"/>
      <c r="L5" s="179"/>
      <c r="M5" s="179"/>
    </row>
    <row r="6" spans="1:13" s="303" customFormat="1" ht="24.9" customHeight="1">
      <c r="A6" s="299" t="s">
        <v>185</v>
      </c>
      <c r="B6" s="299"/>
      <c r="C6" s="299"/>
      <c r="D6" s="299"/>
      <c r="E6" s="299"/>
      <c r="F6" s="299"/>
      <c r="G6" s="299"/>
      <c r="H6" s="299"/>
      <c r="I6" s="299"/>
    </row>
    <row r="7" spans="1:13" s="303" customFormat="1" ht="56.4" customHeight="1">
      <c r="A7" s="299" t="s">
        <v>141</v>
      </c>
      <c r="B7" s="11">
        <v>1000</v>
      </c>
      <c r="C7" s="316">
        <v>11971</v>
      </c>
      <c r="D7" s="316">
        <f>F7+K7+L7+M7</f>
        <v>13490</v>
      </c>
      <c r="E7" s="316">
        <v>13950.7</v>
      </c>
      <c r="F7" s="316">
        <v>13490</v>
      </c>
      <c r="G7" s="316">
        <f>F7-E7</f>
        <v>-460.70000000000073</v>
      </c>
      <c r="H7" s="317">
        <f>(F7/E7)*100</f>
        <v>96.697656748406885</v>
      </c>
      <c r="I7" s="346" t="s">
        <v>571</v>
      </c>
      <c r="K7" s="316"/>
      <c r="L7" s="316"/>
      <c r="M7" s="316"/>
    </row>
    <row r="8" spans="1:13" s="303" customFormat="1" ht="20.100000000000001" customHeight="1">
      <c r="A8" s="299" t="s">
        <v>125</v>
      </c>
      <c r="B8" s="11">
        <v>1010</v>
      </c>
      <c r="C8" s="323">
        <v>10341.000000000002</v>
      </c>
      <c r="D8" s="323">
        <f>SUM(D9:D16)</f>
        <v>11444.999999999996</v>
      </c>
      <c r="E8" s="323">
        <f>SUM(E9:E16)</f>
        <v>11665.4</v>
      </c>
      <c r="F8" s="323">
        <f>SUM(F9:F16)</f>
        <v>11444.999999999996</v>
      </c>
      <c r="G8" s="316">
        <f>F8-E8</f>
        <v>-220.40000000000327</v>
      </c>
      <c r="H8" s="317">
        <f t="shared" ref="H8:H99" si="0">(F8/E8)*100</f>
        <v>98.110652013647169</v>
      </c>
      <c r="I8" s="326"/>
      <c r="K8" s="323"/>
      <c r="L8" s="323"/>
      <c r="M8" s="323"/>
    </row>
    <row r="9" spans="1:13" s="138" customFormat="1" ht="34.950000000000003" customHeight="1">
      <c r="A9" s="310" t="s">
        <v>386</v>
      </c>
      <c r="B9" s="293">
        <v>1011</v>
      </c>
      <c r="C9" s="311">
        <v>2378.9</v>
      </c>
      <c r="D9" s="311">
        <f>F9+K9+L9+M9</f>
        <v>3188.4</v>
      </c>
      <c r="E9" s="311">
        <v>2728</v>
      </c>
      <c r="F9" s="311">
        <f>3147.5+40.9</f>
        <v>3188.4</v>
      </c>
      <c r="G9" s="311">
        <f t="shared" ref="G9:G76" si="1">F9-E9</f>
        <v>460.40000000000009</v>
      </c>
      <c r="H9" s="312">
        <f t="shared" si="0"/>
        <v>116.87683284457478</v>
      </c>
      <c r="I9" s="347" t="s">
        <v>572</v>
      </c>
      <c r="K9" s="311"/>
      <c r="L9" s="311"/>
      <c r="M9" s="311"/>
    </row>
    <row r="10" spans="1:13" s="138" customFormat="1" ht="20.100000000000001" customHeight="1">
      <c r="A10" s="310" t="s">
        <v>387</v>
      </c>
      <c r="B10" s="293">
        <v>1012</v>
      </c>
      <c r="C10" s="311">
        <v>456.1</v>
      </c>
      <c r="D10" s="311">
        <f t="shared" ref="D10:D22" si="2">F10+K10+L10+M10</f>
        <v>357.5</v>
      </c>
      <c r="E10" s="311">
        <v>500</v>
      </c>
      <c r="F10" s="311">
        <v>357.5</v>
      </c>
      <c r="G10" s="311">
        <f t="shared" si="1"/>
        <v>-142.5</v>
      </c>
      <c r="H10" s="312">
        <f t="shared" si="0"/>
        <v>71.5</v>
      </c>
      <c r="I10" s="322" t="s">
        <v>573</v>
      </c>
      <c r="K10" s="311"/>
      <c r="L10" s="311"/>
      <c r="M10" s="311"/>
    </row>
    <row r="11" spans="1:13" s="138" customFormat="1" ht="20.100000000000001" customHeight="1">
      <c r="A11" s="310" t="s">
        <v>388</v>
      </c>
      <c r="B11" s="293">
        <v>1013</v>
      </c>
      <c r="C11" s="311">
        <v>925.5</v>
      </c>
      <c r="D11" s="311">
        <f t="shared" si="2"/>
        <v>902.5</v>
      </c>
      <c r="E11" s="311">
        <v>930</v>
      </c>
      <c r="F11" s="311">
        <v>902.5</v>
      </c>
      <c r="G11" s="311">
        <f t="shared" si="1"/>
        <v>-27.5</v>
      </c>
      <c r="H11" s="312">
        <f t="shared" si="0"/>
        <v>97.043010752688176</v>
      </c>
      <c r="I11" s="322"/>
      <c r="K11" s="311"/>
      <c r="L11" s="311"/>
      <c r="M11" s="311"/>
    </row>
    <row r="12" spans="1:13" s="138" customFormat="1" ht="20.100000000000001" customHeight="1">
      <c r="A12" s="310" t="s">
        <v>5</v>
      </c>
      <c r="B12" s="293">
        <v>1014</v>
      </c>
      <c r="C12" s="311">
        <v>4356.7</v>
      </c>
      <c r="D12" s="311">
        <f t="shared" si="2"/>
        <v>4941.7</v>
      </c>
      <c r="E12" s="311">
        <v>4972.8999999999996</v>
      </c>
      <c r="F12" s="311">
        <v>4941.7</v>
      </c>
      <c r="G12" s="311">
        <f t="shared" si="1"/>
        <v>-31.199999999999818</v>
      </c>
      <c r="H12" s="312">
        <f t="shared" si="0"/>
        <v>99.372599489231632</v>
      </c>
      <c r="I12" s="322"/>
      <c r="K12" s="311"/>
      <c r="L12" s="311"/>
      <c r="M12" s="311"/>
    </row>
    <row r="13" spans="1:13" s="138" customFormat="1" ht="20.100000000000001" customHeight="1">
      <c r="A13" s="310" t="s">
        <v>6</v>
      </c>
      <c r="B13" s="293">
        <v>1015</v>
      </c>
      <c r="C13" s="311">
        <v>937.9</v>
      </c>
      <c r="D13" s="311">
        <f t="shared" si="2"/>
        <v>1073.4000000000001</v>
      </c>
      <c r="E13" s="311">
        <v>1086.0999999999999</v>
      </c>
      <c r="F13" s="311">
        <v>1073.4000000000001</v>
      </c>
      <c r="G13" s="311">
        <f t="shared" si="1"/>
        <v>-12.699999999999818</v>
      </c>
      <c r="H13" s="312">
        <f t="shared" si="0"/>
        <v>98.830678574716885</v>
      </c>
      <c r="I13" s="322"/>
      <c r="K13" s="311"/>
      <c r="L13" s="311"/>
      <c r="M13" s="311"/>
    </row>
    <row r="14" spans="1:13" s="138" customFormat="1">
      <c r="A14" s="310" t="s">
        <v>389</v>
      </c>
      <c r="B14" s="293">
        <v>1016</v>
      </c>
      <c r="C14" s="311">
        <v>126.5</v>
      </c>
      <c r="D14" s="311">
        <f t="shared" si="2"/>
        <v>69.8</v>
      </c>
      <c r="E14" s="311">
        <v>266</v>
      </c>
      <c r="F14" s="311">
        <v>69.8</v>
      </c>
      <c r="G14" s="311">
        <f t="shared" si="1"/>
        <v>-196.2</v>
      </c>
      <c r="H14" s="312">
        <f t="shared" si="0"/>
        <v>26.240601503759397</v>
      </c>
      <c r="I14" s="322"/>
      <c r="K14" s="311"/>
      <c r="L14" s="311"/>
      <c r="M14" s="311"/>
    </row>
    <row r="15" spans="1:13" s="138" customFormat="1" ht="20.100000000000001" customHeight="1">
      <c r="A15" s="310" t="s">
        <v>390</v>
      </c>
      <c r="B15" s="293">
        <v>1017</v>
      </c>
      <c r="C15" s="311">
        <v>182.2</v>
      </c>
      <c r="D15" s="311">
        <f t="shared" si="2"/>
        <v>177.9</v>
      </c>
      <c r="E15" s="311">
        <v>190</v>
      </c>
      <c r="F15" s="311">
        <v>177.9</v>
      </c>
      <c r="G15" s="311">
        <f t="shared" si="1"/>
        <v>-12.099999999999994</v>
      </c>
      <c r="H15" s="312">
        <f t="shared" si="0"/>
        <v>93.631578947368425</v>
      </c>
      <c r="I15" s="322"/>
      <c r="K15" s="311"/>
      <c r="L15" s="311"/>
      <c r="M15" s="311"/>
    </row>
    <row r="16" spans="1:13" s="138" customFormat="1" ht="20.100000000000001" customHeight="1">
      <c r="A16" s="310" t="s">
        <v>391</v>
      </c>
      <c r="B16" s="293">
        <v>1018</v>
      </c>
      <c r="C16" s="311">
        <v>977.2</v>
      </c>
      <c r="D16" s="311">
        <f>D17+D18+D19+D20+D21+D22</f>
        <v>733.8</v>
      </c>
      <c r="E16" s="311">
        <f>E17+E18+E19+E20+E21+E22</f>
        <v>992.40000000000009</v>
      </c>
      <c r="F16" s="311">
        <f>F17+F18+F19+F20+F21+F22</f>
        <v>733.8</v>
      </c>
      <c r="G16" s="311">
        <f t="shared" si="1"/>
        <v>-258.60000000000014</v>
      </c>
      <c r="H16" s="312">
        <f t="shared" si="0"/>
        <v>73.94195888754534</v>
      </c>
      <c r="I16" s="322"/>
      <c r="K16" s="311"/>
      <c r="L16" s="311"/>
      <c r="M16" s="311"/>
    </row>
    <row r="17" spans="1:13" s="138" customFormat="1" ht="69.3" customHeight="1">
      <c r="A17" s="157" t="s">
        <v>430</v>
      </c>
      <c r="B17" s="293" t="s">
        <v>431</v>
      </c>
      <c r="C17" s="319">
        <v>510.3</v>
      </c>
      <c r="D17" s="319">
        <f t="shared" si="2"/>
        <v>321.2</v>
      </c>
      <c r="E17" s="319">
        <v>508.1</v>
      </c>
      <c r="F17" s="319">
        <v>321.2</v>
      </c>
      <c r="G17" s="311">
        <f t="shared" ref="G17:G22" si="3">F17-E17</f>
        <v>-186.90000000000003</v>
      </c>
      <c r="H17" s="312">
        <f t="shared" ref="H17:H22" si="4">(F17/E17)*100</f>
        <v>63.215902381420975</v>
      </c>
      <c r="I17" s="348" t="s">
        <v>574</v>
      </c>
      <c r="K17" s="319"/>
      <c r="L17" s="319"/>
      <c r="M17" s="319"/>
    </row>
    <row r="18" spans="1:13" s="138" customFormat="1" ht="20.100000000000001" customHeight="1">
      <c r="A18" s="157" t="s">
        <v>432</v>
      </c>
      <c r="B18" s="293" t="s">
        <v>433</v>
      </c>
      <c r="C18" s="319">
        <v>16.399999999999999</v>
      </c>
      <c r="D18" s="319">
        <f t="shared" si="2"/>
        <v>10.4</v>
      </c>
      <c r="E18" s="319">
        <v>25</v>
      </c>
      <c r="F18" s="319">
        <v>10.4</v>
      </c>
      <c r="G18" s="311">
        <f t="shared" si="3"/>
        <v>-14.6</v>
      </c>
      <c r="H18" s="312">
        <f t="shared" si="4"/>
        <v>41.6</v>
      </c>
      <c r="I18" s="328"/>
      <c r="K18" s="319"/>
      <c r="L18" s="319"/>
      <c r="M18" s="319"/>
    </row>
    <row r="19" spans="1:13" s="138" customFormat="1" ht="20.100000000000001" customHeight="1">
      <c r="A19" s="157" t="s">
        <v>434</v>
      </c>
      <c r="B19" s="293" t="s">
        <v>435</v>
      </c>
      <c r="C19" s="319">
        <v>20</v>
      </c>
      <c r="D19" s="319">
        <f t="shared" si="2"/>
        <v>8</v>
      </c>
      <c r="E19" s="319">
        <v>12</v>
      </c>
      <c r="F19" s="319">
        <v>8</v>
      </c>
      <c r="G19" s="311">
        <f t="shared" si="3"/>
        <v>-4</v>
      </c>
      <c r="H19" s="312">
        <f t="shared" si="4"/>
        <v>66.666666666666657</v>
      </c>
      <c r="I19" s="328"/>
      <c r="K19" s="319"/>
      <c r="L19" s="319"/>
      <c r="M19" s="319"/>
    </row>
    <row r="20" spans="1:13" s="138" customFormat="1" ht="20.100000000000001" customHeight="1">
      <c r="A20" s="157" t="s">
        <v>436</v>
      </c>
      <c r="B20" s="293" t="s">
        <v>437</v>
      </c>
      <c r="C20" s="319">
        <v>3.5</v>
      </c>
      <c r="D20" s="319">
        <f t="shared" si="2"/>
        <v>3.8</v>
      </c>
      <c r="E20" s="319">
        <v>4</v>
      </c>
      <c r="F20" s="319">
        <v>3.8</v>
      </c>
      <c r="G20" s="311">
        <f t="shared" si="3"/>
        <v>-0.20000000000000018</v>
      </c>
      <c r="H20" s="312">
        <f t="shared" si="4"/>
        <v>95</v>
      </c>
      <c r="I20" s="327"/>
      <c r="K20" s="319"/>
      <c r="L20" s="319"/>
      <c r="M20" s="319"/>
    </row>
    <row r="21" spans="1:13" s="138" customFormat="1" ht="20.100000000000001" customHeight="1">
      <c r="A21" s="157" t="s">
        <v>438</v>
      </c>
      <c r="B21" s="293" t="s">
        <v>439</v>
      </c>
      <c r="C21" s="319">
        <v>99.1</v>
      </c>
      <c r="D21" s="319">
        <f t="shared" si="2"/>
        <v>143.69999999999999</v>
      </c>
      <c r="E21" s="319">
        <v>194</v>
      </c>
      <c r="F21" s="319">
        <v>143.69999999999999</v>
      </c>
      <c r="G21" s="311">
        <f t="shared" si="3"/>
        <v>-50.300000000000011</v>
      </c>
      <c r="H21" s="312">
        <f t="shared" si="4"/>
        <v>74.072164948453604</v>
      </c>
      <c r="I21" s="327"/>
      <c r="K21" s="319"/>
      <c r="L21" s="319"/>
      <c r="M21" s="319"/>
    </row>
    <row r="22" spans="1:13" s="138" customFormat="1" ht="20.100000000000001" customHeight="1">
      <c r="A22" s="157" t="s">
        <v>440</v>
      </c>
      <c r="B22" s="293" t="s">
        <v>441</v>
      </c>
      <c r="C22" s="319">
        <v>327.9</v>
      </c>
      <c r="D22" s="319">
        <f t="shared" si="2"/>
        <v>246.70000000000002</v>
      </c>
      <c r="E22" s="319">
        <v>249.3</v>
      </c>
      <c r="F22" s="319">
        <f>287.6-40.9</f>
        <v>246.70000000000002</v>
      </c>
      <c r="G22" s="311">
        <f t="shared" si="3"/>
        <v>-2.5999999999999943</v>
      </c>
      <c r="H22" s="312">
        <f t="shared" si="4"/>
        <v>98.957079823505822</v>
      </c>
      <c r="I22" s="327"/>
      <c r="K22" s="319"/>
      <c r="L22" s="319"/>
      <c r="M22" s="319"/>
    </row>
    <row r="23" spans="1:13" s="303" customFormat="1" ht="20.100000000000001" customHeight="1">
      <c r="A23" s="299" t="s">
        <v>24</v>
      </c>
      <c r="B23" s="11">
        <v>1020</v>
      </c>
      <c r="C23" s="329">
        <v>1629.9999999999982</v>
      </c>
      <c r="D23" s="329">
        <f t="shared" ref="D23" si="5">D7-D8</f>
        <v>2045.0000000000036</v>
      </c>
      <c r="E23" s="329">
        <f t="shared" ref="E23:F23" si="6">E7-E8</f>
        <v>2285.3000000000011</v>
      </c>
      <c r="F23" s="329">
        <f t="shared" si="6"/>
        <v>2045.0000000000036</v>
      </c>
      <c r="G23" s="316">
        <f t="shared" si="1"/>
        <v>-240.29999999999745</v>
      </c>
      <c r="H23" s="317">
        <f t="shared" si="0"/>
        <v>89.484969150658671</v>
      </c>
      <c r="I23" s="326"/>
      <c r="K23" s="329"/>
      <c r="L23" s="329"/>
      <c r="M23" s="329"/>
    </row>
    <row r="24" spans="1:13" s="303" customFormat="1" ht="20.100000000000001" customHeight="1">
      <c r="A24" s="299" t="s">
        <v>151</v>
      </c>
      <c r="B24" s="11">
        <v>1030</v>
      </c>
      <c r="C24" s="323">
        <v>1188.9999999999998</v>
      </c>
      <c r="D24" s="323">
        <f>SUM(D25:D44,D46)</f>
        <v>1362.9999999999998</v>
      </c>
      <c r="E24" s="323">
        <f>SUM(E25:E44,E46)</f>
        <v>1527</v>
      </c>
      <c r="F24" s="323">
        <f>SUM(F25:F44,F46)</f>
        <v>1362.9999999999998</v>
      </c>
      <c r="G24" s="316">
        <f t="shared" si="1"/>
        <v>-164.00000000000023</v>
      </c>
      <c r="H24" s="317">
        <f t="shared" si="0"/>
        <v>89.259986902423037</v>
      </c>
      <c r="I24" s="326"/>
      <c r="K24" s="323"/>
      <c r="L24" s="323"/>
      <c r="M24" s="323"/>
    </row>
    <row r="25" spans="1:13" ht="20.100000000000001" customHeight="1">
      <c r="A25" s="310" t="s">
        <v>92</v>
      </c>
      <c r="B25" s="9">
        <v>1031</v>
      </c>
      <c r="C25" s="311">
        <v>36.9</v>
      </c>
      <c r="D25" s="311">
        <f>F25+K25+L25+M25</f>
        <v>12.7</v>
      </c>
      <c r="E25" s="311">
        <v>30</v>
      </c>
      <c r="F25" s="311">
        <v>12.7</v>
      </c>
      <c r="G25" s="311">
        <f t="shared" si="1"/>
        <v>-17.3</v>
      </c>
      <c r="H25" s="312">
        <f t="shared" si="0"/>
        <v>42.333333333333329</v>
      </c>
      <c r="I25" s="325"/>
      <c r="K25" s="311"/>
      <c r="L25" s="311"/>
      <c r="M25" s="311"/>
    </row>
    <row r="26" spans="1:13" ht="20.100000000000001" customHeight="1">
      <c r="A26" s="310" t="s">
        <v>143</v>
      </c>
      <c r="B26" s="9">
        <v>1032</v>
      </c>
      <c r="C26" s="311">
        <v>0</v>
      </c>
      <c r="D26" s="311">
        <f t="shared" ref="D26:D52" si="7">F26+K26+L26+M26</f>
        <v>0</v>
      </c>
      <c r="E26" s="311">
        <v>0</v>
      </c>
      <c r="F26" s="311">
        <v>0</v>
      </c>
      <c r="G26" s="311">
        <f t="shared" si="1"/>
        <v>0</v>
      </c>
      <c r="H26" s="312"/>
      <c r="I26" s="313"/>
      <c r="K26" s="311"/>
      <c r="L26" s="311"/>
      <c r="M26" s="311"/>
    </row>
    <row r="27" spans="1:13" ht="20.100000000000001" customHeight="1">
      <c r="A27" s="310" t="s">
        <v>55</v>
      </c>
      <c r="B27" s="9">
        <v>1033</v>
      </c>
      <c r="C27" s="311">
        <v>0</v>
      </c>
      <c r="D27" s="311">
        <f t="shared" si="7"/>
        <v>0</v>
      </c>
      <c r="E27" s="311">
        <v>0</v>
      </c>
      <c r="F27" s="311">
        <v>0</v>
      </c>
      <c r="G27" s="311">
        <f t="shared" si="1"/>
        <v>0</v>
      </c>
      <c r="H27" s="312"/>
      <c r="I27" s="313"/>
      <c r="K27" s="311"/>
      <c r="L27" s="311"/>
      <c r="M27" s="311"/>
    </row>
    <row r="28" spans="1:13" ht="20.100000000000001" customHeight="1">
      <c r="A28" s="310" t="s">
        <v>22</v>
      </c>
      <c r="B28" s="9">
        <v>1034</v>
      </c>
      <c r="C28" s="311">
        <v>0</v>
      </c>
      <c r="D28" s="311">
        <f t="shared" si="7"/>
        <v>0</v>
      </c>
      <c r="E28" s="311">
        <v>0</v>
      </c>
      <c r="F28" s="311">
        <v>0</v>
      </c>
      <c r="G28" s="311">
        <f t="shared" si="1"/>
        <v>0</v>
      </c>
      <c r="H28" s="312"/>
      <c r="I28" s="313"/>
      <c r="K28" s="311"/>
      <c r="L28" s="311"/>
      <c r="M28" s="311"/>
    </row>
    <row r="29" spans="1:13" ht="20.100000000000001" customHeight="1">
      <c r="A29" s="310" t="s">
        <v>23</v>
      </c>
      <c r="B29" s="9">
        <v>1035</v>
      </c>
      <c r="C29" s="311">
        <v>0</v>
      </c>
      <c r="D29" s="311">
        <f t="shared" si="7"/>
        <v>0</v>
      </c>
      <c r="E29" s="311">
        <v>0</v>
      </c>
      <c r="F29" s="311">
        <v>0</v>
      </c>
      <c r="G29" s="311">
        <f t="shared" si="1"/>
        <v>0</v>
      </c>
      <c r="H29" s="312"/>
      <c r="I29" s="313"/>
      <c r="K29" s="311"/>
      <c r="L29" s="311"/>
      <c r="M29" s="311"/>
    </row>
    <row r="30" spans="1:13" s="138" customFormat="1" ht="20.100000000000001" customHeight="1">
      <c r="A30" s="310" t="s">
        <v>33</v>
      </c>
      <c r="B30" s="9">
        <v>1036</v>
      </c>
      <c r="C30" s="311">
        <v>0.7</v>
      </c>
      <c r="D30" s="311">
        <f t="shared" si="7"/>
        <v>0</v>
      </c>
      <c r="E30" s="311">
        <v>3</v>
      </c>
      <c r="F30" s="311">
        <v>0</v>
      </c>
      <c r="G30" s="311">
        <f t="shared" si="1"/>
        <v>-3</v>
      </c>
      <c r="H30" s="312"/>
      <c r="I30" s="313"/>
      <c r="K30" s="311"/>
      <c r="L30" s="311"/>
      <c r="M30" s="311"/>
    </row>
    <row r="31" spans="1:13" s="138" customFormat="1" ht="20.100000000000001" customHeight="1">
      <c r="A31" s="310" t="s">
        <v>34</v>
      </c>
      <c r="B31" s="9">
        <v>1037</v>
      </c>
      <c r="C31" s="311">
        <v>2.2000000000000002</v>
      </c>
      <c r="D31" s="311">
        <f t="shared" si="7"/>
        <v>3.1</v>
      </c>
      <c r="E31" s="311">
        <v>3</v>
      </c>
      <c r="F31" s="311">
        <v>3.1</v>
      </c>
      <c r="G31" s="311">
        <f t="shared" si="1"/>
        <v>0.10000000000000009</v>
      </c>
      <c r="H31" s="312">
        <f t="shared" si="0"/>
        <v>103.33333333333334</v>
      </c>
      <c r="I31" s="313"/>
      <c r="K31" s="311"/>
      <c r="L31" s="311"/>
      <c r="M31" s="311"/>
    </row>
    <row r="32" spans="1:13" s="138" customFormat="1" ht="20.100000000000001" customHeight="1">
      <c r="A32" s="310" t="s">
        <v>35</v>
      </c>
      <c r="B32" s="9">
        <v>1038</v>
      </c>
      <c r="C32" s="311">
        <v>724.8</v>
      </c>
      <c r="D32" s="311">
        <f t="shared" si="7"/>
        <v>799.2</v>
      </c>
      <c r="E32" s="311">
        <v>750</v>
      </c>
      <c r="F32" s="311">
        <v>799.2</v>
      </c>
      <c r="G32" s="311">
        <f t="shared" si="1"/>
        <v>49.200000000000045</v>
      </c>
      <c r="H32" s="312">
        <f t="shared" si="0"/>
        <v>106.56000000000002</v>
      </c>
      <c r="I32" s="322"/>
      <c r="K32" s="311"/>
      <c r="L32" s="311"/>
      <c r="M32" s="311"/>
    </row>
    <row r="33" spans="1:13" s="138" customFormat="1" ht="20.100000000000001" customHeight="1">
      <c r="A33" s="310" t="s">
        <v>36</v>
      </c>
      <c r="B33" s="9">
        <v>1039</v>
      </c>
      <c r="C33" s="311">
        <v>146.5</v>
      </c>
      <c r="D33" s="311">
        <f t="shared" si="7"/>
        <v>160.80000000000001</v>
      </c>
      <c r="E33" s="311">
        <v>165</v>
      </c>
      <c r="F33" s="311">
        <v>160.80000000000001</v>
      </c>
      <c r="G33" s="311">
        <f t="shared" si="1"/>
        <v>-4.1999999999999886</v>
      </c>
      <c r="H33" s="312">
        <f t="shared" si="0"/>
        <v>97.454545454545467</v>
      </c>
      <c r="I33" s="313"/>
      <c r="K33" s="311"/>
      <c r="L33" s="311"/>
      <c r="M33" s="311"/>
    </row>
    <row r="34" spans="1:13" s="138" customFormat="1" ht="25.8" customHeight="1">
      <c r="A34" s="310" t="s">
        <v>37</v>
      </c>
      <c r="B34" s="9">
        <v>1040</v>
      </c>
      <c r="C34" s="311">
        <v>41.3</v>
      </c>
      <c r="D34" s="311">
        <f t="shared" si="7"/>
        <v>140</v>
      </c>
      <c r="E34" s="311">
        <v>100</v>
      </c>
      <c r="F34" s="311">
        <v>140</v>
      </c>
      <c r="G34" s="311">
        <f t="shared" si="1"/>
        <v>40</v>
      </c>
      <c r="H34" s="312">
        <f t="shared" si="0"/>
        <v>140</v>
      </c>
      <c r="I34" s="320"/>
      <c r="K34" s="311"/>
      <c r="L34" s="311"/>
      <c r="M34" s="311"/>
    </row>
    <row r="35" spans="1:13" s="138" customFormat="1" ht="42.75" customHeight="1">
      <c r="A35" s="310" t="s">
        <v>38</v>
      </c>
      <c r="B35" s="9">
        <v>1041</v>
      </c>
      <c r="C35" s="311">
        <v>0</v>
      </c>
      <c r="D35" s="311">
        <f t="shared" si="7"/>
        <v>0</v>
      </c>
      <c r="E35" s="311">
        <v>0</v>
      </c>
      <c r="F35" s="311">
        <v>0</v>
      </c>
      <c r="G35" s="311">
        <f t="shared" si="1"/>
        <v>0</v>
      </c>
      <c r="H35" s="312"/>
      <c r="I35" s="313"/>
      <c r="K35" s="311"/>
      <c r="L35" s="311"/>
      <c r="M35" s="311"/>
    </row>
    <row r="36" spans="1:13" s="138" customFormat="1" ht="20.100000000000001" customHeight="1">
      <c r="A36" s="310" t="s">
        <v>39</v>
      </c>
      <c r="B36" s="9">
        <v>1042</v>
      </c>
      <c r="C36" s="311">
        <v>0</v>
      </c>
      <c r="D36" s="311">
        <f t="shared" si="7"/>
        <v>0</v>
      </c>
      <c r="E36" s="311">
        <v>0</v>
      </c>
      <c r="F36" s="311">
        <v>0</v>
      </c>
      <c r="G36" s="311">
        <f t="shared" si="1"/>
        <v>0</v>
      </c>
      <c r="H36" s="312"/>
      <c r="I36" s="313"/>
      <c r="K36" s="311"/>
      <c r="L36" s="311"/>
      <c r="M36" s="311"/>
    </row>
    <row r="37" spans="1:13" s="138" customFormat="1" ht="20.100000000000001" customHeight="1">
      <c r="A37" s="310" t="s">
        <v>40</v>
      </c>
      <c r="B37" s="9">
        <v>1043</v>
      </c>
      <c r="C37" s="311">
        <v>0</v>
      </c>
      <c r="D37" s="311">
        <f t="shared" si="7"/>
        <v>0</v>
      </c>
      <c r="E37" s="311">
        <v>0</v>
      </c>
      <c r="F37" s="311">
        <v>0</v>
      </c>
      <c r="G37" s="311">
        <f t="shared" si="1"/>
        <v>0</v>
      </c>
      <c r="H37" s="312"/>
      <c r="I37" s="313"/>
      <c r="K37" s="311"/>
      <c r="L37" s="311"/>
      <c r="M37" s="311"/>
    </row>
    <row r="38" spans="1:13" s="138" customFormat="1" ht="20.100000000000001" customHeight="1">
      <c r="A38" s="310" t="s">
        <v>41</v>
      </c>
      <c r="B38" s="9">
        <v>1044</v>
      </c>
      <c r="C38" s="311">
        <v>25.7</v>
      </c>
      <c r="D38" s="311">
        <f t="shared" si="7"/>
        <v>24.3</v>
      </c>
      <c r="E38" s="311">
        <v>16.5</v>
      </c>
      <c r="F38" s="311">
        <v>24.3</v>
      </c>
      <c r="G38" s="311">
        <f t="shared" si="1"/>
        <v>7.8000000000000007</v>
      </c>
      <c r="H38" s="312">
        <f t="shared" si="0"/>
        <v>147.27272727272725</v>
      </c>
      <c r="I38" s="320" t="s">
        <v>575</v>
      </c>
      <c r="K38" s="311"/>
      <c r="L38" s="311"/>
      <c r="M38" s="311"/>
    </row>
    <row r="39" spans="1:13" s="138" customFormat="1" ht="20.100000000000001" customHeight="1">
      <c r="A39" s="310" t="s">
        <v>57</v>
      </c>
      <c r="B39" s="9">
        <v>1045</v>
      </c>
      <c r="C39" s="311">
        <v>2.4</v>
      </c>
      <c r="D39" s="311">
        <f t="shared" si="7"/>
        <v>3.1</v>
      </c>
      <c r="E39" s="311">
        <v>0</v>
      </c>
      <c r="F39" s="311">
        <v>3.1</v>
      </c>
      <c r="G39" s="311">
        <f t="shared" si="1"/>
        <v>3.1</v>
      </c>
      <c r="H39" s="312"/>
      <c r="I39" s="313" t="s">
        <v>576</v>
      </c>
      <c r="K39" s="311"/>
      <c r="L39" s="311"/>
      <c r="M39" s="311"/>
    </row>
    <row r="40" spans="1:13" s="138" customFormat="1" ht="20.100000000000001" customHeight="1">
      <c r="A40" s="310" t="s">
        <v>42</v>
      </c>
      <c r="B40" s="9">
        <v>1046</v>
      </c>
      <c r="C40" s="311">
        <v>0</v>
      </c>
      <c r="D40" s="311">
        <f t="shared" si="7"/>
        <v>0</v>
      </c>
      <c r="E40" s="311">
        <v>0</v>
      </c>
      <c r="F40" s="311">
        <v>0</v>
      </c>
      <c r="G40" s="311">
        <f t="shared" si="1"/>
        <v>0</v>
      </c>
      <c r="H40" s="312"/>
      <c r="I40" s="313"/>
      <c r="K40" s="311"/>
      <c r="L40" s="311"/>
      <c r="M40" s="311"/>
    </row>
    <row r="41" spans="1:13" s="138" customFormat="1" ht="20.100000000000001" customHeight="1">
      <c r="A41" s="310" t="s">
        <v>43</v>
      </c>
      <c r="B41" s="9">
        <v>1047</v>
      </c>
      <c r="C41" s="311">
        <v>0</v>
      </c>
      <c r="D41" s="311">
        <f t="shared" si="7"/>
        <v>0</v>
      </c>
      <c r="E41" s="311">
        <v>0</v>
      </c>
      <c r="F41" s="311">
        <v>0</v>
      </c>
      <c r="G41" s="311">
        <f t="shared" si="1"/>
        <v>0</v>
      </c>
      <c r="H41" s="312"/>
      <c r="I41" s="313"/>
      <c r="K41" s="311"/>
      <c r="L41" s="311"/>
      <c r="M41" s="311"/>
    </row>
    <row r="42" spans="1:13" s="138" customFormat="1" ht="20.100000000000001" customHeight="1">
      <c r="A42" s="310" t="s">
        <v>44</v>
      </c>
      <c r="B42" s="9">
        <v>1048</v>
      </c>
      <c r="C42" s="311">
        <v>0</v>
      </c>
      <c r="D42" s="311">
        <f t="shared" si="7"/>
        <v>0</v>
      </c>
      <c r="E42" s="311">
        <v>0</v>
      </c>
      <c r="F42" s="311">
        <v>0</v>
      </c>
      <c r="G42" s="311">
        <f t="shared" si="1"/>
        <v>0</v>
      </c>
      <c r="H42" s="312"/>
      <c r="I42" s="313"/>
      <c r="K42" s="311"/>
      <c r="L42" s="311"/>
      <c r="M42" s="311"/>
    </row>
    <row r="43" spans="1:13" s="138" customFormat="1" ht="20.100000000000001" customHeight="1">
      <c r="A43" s="310" t="s">
        <v>45</v>
      </c>
      <c r="B43" s="9">
        <v>1049</v>
      </c>
      <c r="C43" s="311">
        <v>9.8000000000000007</v>
      </c>
      <c r="D43" s="311">
        <f t="shared" si="7"/>
        <v>0.7</v>
      </c>
      <c r="E43" s="311">
        <v>10</v>
      </c>
      <c r="F43" s="311">
        <v>0.7</v>
      </c>
      <c r="G43" s="311">
        <f t="shared" si="1"/>
        <v>-9.3000000000000007</v>
      </c>
      <c r="H43" s="312">
        <f t="shared" si="0"/>
        <v>6.9999999999999991</v>
      </c>
      <c r="I43" s="313"/>
      <c r="K43" s="311"/>
      <c r="L43" s="311"/>
      <c r="M43" s="311"/>
    </row>
    <row r="44" spans="1:13" s="138" customFormat="1" ht="42.75" customHeight="1">
      <c r="A44" s="310" t="s">
        <v>67</v>
      </c>
      <c r="B44" s="9">
        <v>1050</v>
      </c>
      <c r="C44" s="311">
        <v>17.399999999999999</v>
      </c>
      <c r="D44" s="311">
        <f t="shared" si="7"/>
        <v>112.6</v>
      </c>
      <c r="E44" s="311">
        <v>300</v>
      </c>
      <c r="F44" s="311">
        <v>112.6</v>
      </c>
      <c r="G44" s="311">
        <f t="shared" si="1"/>
        <v>-187.4</v>
      </c>
      <c r="H44" s="312"/>
      <c r="I44" s="313"/>
      <c r="K44" s="311"/>
      <c r="L44" s="311"/>
      <c r="M44" s="311"/>
    </row>
    <row r="45" spans="1:13" s="138" customFormat="1" ht="20.100000000000001" customHeight="1">
      <c r="A45" s="310" t="s">
        <v>46</v>
      </c>
      <c r="B45" s="293" t="s">
        <v>315</v>
      </c>
      <c r="C45" s="311">
        <v>0.7</v>
      </c>
      <c r="D45" s="311">
        <f t="shared" si="7"/>
        <v>112.6</v>
      </c>
      <c r="E45" s="311">
        <v>300</v>
      </c>
      <c r="F45" s="311">
        <v>112.6</v>
      </c>
      <c r="G45" s="311">
        <f t="shared" si="1"/>
        <v>-187.4</v>
      </c>
      <c r="H45" s="312"/>
      <c r="I45" s="320"/>
      <c r="K45" s="311"/>
      <c r="L45" s="311"/>
      <c r="M45" s="311"/>
    </row>
    <row r="46" spans="1:13" s="138" customFormat="1" ht="20.100000000000001" customHeight="1">
      <c r="A46" s="310" t="s">
        <v>95</v>
      </c>
      <c r="B46" s="9">
        <v>1051</v>
      </c>
      <c r="C46" s="311">
        <v>181.3</v>
      </c>
      <c r="D46" s="311">
        <f>D47+D48+D49+D50+D51+D52</f>
        <v>106.50000000000001</v>
      </c>
      <c r="E46" s="311">
        <f>E47+E48+E49+E50+E51+E52</f>
        <v>149.5</v>
      </c>
      <c r="F46" s="311">
        <f>F47+F48+F49+F50+F51+F52</f>
        <v>106.50000000000001</v>
      </c>
      <c r="G46" s="311">
        <f t="shared" si="1"/>
        <v>-42.999999999999986</v>
      </c>
      <c r="H46" s="312">
        <f t="shared" si="0"/>
        <v>71.237458193979947</v>
      </c>
      <c r="I46" s="313"/>
      <c r="K46" s="311"/>
      <c r="L46" s="311"/>
      <c r="M46" s="311"/>
    </row>
    <row r="47" spans="1:13" s="138" customFormat="1" ht="20.100000000000001" customHeight="1">
      <c r="A47" s="157" t="s">
        <v>430</v>
      </c>
      <c r="B47" s="293" t="s">
        <v>442</v>
      </c>
      <c r="C47" s="319">
        <v>14.6</v>
      </c>
      <c r="D47" s="319">
        <f t="shared" si="7"/>
        <v>9.6999999999999993</v>
      </c>
      <c r="E47" s="319">
        <v>15</v>
      </c>
      <c r="F47" s="319">
        <v>9.6999999999999993</v>
      </c>
      <c r="G47" s="311">
        <f t="shared" ref="G47:G54" si="8">F47-E47</f>
        <v>-5.3000000000000007</v>
      </c>
      <c r="H47" s="312">
        <f t="shared" ref="H47:H52" si="9">(F47/E47)*100</f>
        <v>64.666666666666657</v>
      </c>
      <c r="I47" s="330"/>
      <c r="K47" s="319"/>
      <c r="L47" s="319"/>
      <c r="M47" s="319"/>
    </row>
    <row r="48" spans="1:13" s="138" customFormat="1" ht="19.95" customHeight="1">
      <c r="A48" s="157" t="s">
        <v>443</v>
      </c>
      <c r="B48" s="293" t="s">
        <v>444</v>
      </c>
      <c r="C48" s="319">
        <v>83.2</v>
      </c>
      <c r="D48" s="319">
        <f t="shared" si="7"/>
        <v>20.7</v>
      </c>
      <c r="E48" s="319">
        <v>25</v>
      </c>
      <c r="F48" s="319">
        <v>20.7</v>
      </c>
      <c r="G48" s="311">
        <f t="shared" si="8"/>
        <v>-4.3000000000000007</v>
      </c>
      <c r="H48" s="312">
        <f t="shared" si="9"/>
        <v>82.8</v>
      </c>
      <c r="I48" s="312"/>
      <c r="K48" s="319"/>
      <c r="L48" s="319"/>
      <c r="M48" s="319"/>
    </row>
    <row r="49" spans="1:13" s="138" customFormat="1" ht="20.100000000000001" customHeight="1">
      <c r="A49" s="157" t="s">
        <v>445</v>
      </c>
      <c r="B49" s="293" t="s">
        <v>446</v>
      </c>
      <c r="C49" s="319">
        <v>60.7</v>
      </c>
      <c r="D49" s="319">
        <f t="shared" si="7"/>
        <v>50</v>
      </c>
      <c r="E49" s="319">
        <v>65.5</v>
      </c>
      <c r="F49" s="319">
        <v>50</v>
      </c>
      <c r="G49" s="311">
        <f t="shared" si="8"/>
        <v>-15.5</v>
      </c>
      <c r="H49" s="312">
        <f t="shared" si="9"/>
        <v>76.335877862595424</v>
      </c>
      <c r="I49" s="312"/>
      <c r="K49" s="319"/>
      <c r="L49" s="319"/>
      <c r="M49" s="319"/>
    </row>
    <row r="50" spans="1:13" s="138" customFormat="1" ht="20.100000000000001" customHeight="1">
      <c r="A50" s="157" t="s">
        <v>447</v>
      </c>
      <c r="B50" s="293" t="s">
        <v>448</v>
      </c>
      <c r="C50" s="319">
        <v>14.5</v>
      </c>
      <c r="D50" s="319">
        <f t="shared" si="7"/>
        <v>18.7</v>
      </c>
      <c r="E50" s="319">
        <v>30</v>
      </c>
      <c r="F50" s="319">
        <v>18.7</v>
      </c>
      <c r="G50" s="311">
        <f t="shared" si="8"/>
        <v>-11.3</v>
      </c>
      <c r="H50" s="312">
        <f t="shared" si="9"/>
        <v>62.333333333333329</v>
      </c>
      <c r="I50" s="330"/>
      <c r="K50" s="319"/>
      <c r="L50" s="319"/>
      <c r="M50" s="319"/>
    </row>
    <row r="51" spans="1:13" s="138" customFormat="1" ht="20.100000000000001" customHeight="1">
      <c r="A51" s="157" t="s">
        <v>449</v>
      </c>
      <c r="B51" s="293" t="s">
        <v>450</v>
      </c>
      <c r="C51" s="319">
        <v>7.8</v>
      </c>
      <c r="D51" s="319">
        <f t="shared" si="7"/>
        <v>7.4</v>
      </c>
      <c r="E51" s="319">
        <v>9</v>
      </c>
      <c r="F51" s="319">
        <v>7.4</v>
      </c>
      <c r="G51" s="311">
        <f t="shared" si="8"/>
        <v>-1.5999999999999996</v>
      </c>
      <c r="H51" s="312">
        <f t="shared" si="9"/>
        <v>82.222222222222229</v>
      </c>
      <c r="I51" s="330"/>
      <c r="K51" s="319"/>
      <c r="L51" s="319"/>
      <c r="M51" s="319"/>
    </row>
    <row r="52" spans="1:13" s="138" customFormat="1" ht="20.100000000000001" customHeight="1">
      <c r="A52" s="157" t="s">
        <v>440</v>
      </c>
      <c r="B52" s="293" t="s">
        <v>451</v>
      </c>
      <c r="C52" s="319">
        <v>0.5</v>
      </c>
      <c r="D52" s="319">
        <f t="shared" si="7"/>
        <v>0</v>
      </c>
      <c r="E52" s="319">
        <v>5</v>
      </c>
      <c r="F52" s="319">
        <v>0</v>
      </c>
      <c r="G52" s="311">
        <f t="shared" si="8"/>
        <v>-5</v>
      </c>
      <c r="H52" s="312">
        <f t="shared" si="9"/>
        <v>0</v>
      </c>
      <c r="I52" s="312"/>
      <c r="K52" s="319"/>
      <c r="L52" s="319"/>
      <c r="M52" s="319"/>
    </row>
    <row r="53" spans="1:13" ht="20.100000000000001" customHeight="1">
      <c r="A53" s="310" t="s">
        <v>152</v>
      </c>
      <c r="B53" s="9">
        <v>1060</v>
      </c>
      <c r="C53" s="314">
        <v>0</v>
      </c>
      <c r="D53" s="314">
        <f>SUM(D54:D60)</f>
        <v>0</v>
      </c>
      <c r="E53" s="314">
        <f>SUM(E54:E60)</f>
        <v>0</v>
      </c>
      <c r="F53" s="314">
        <f>SUM(F54:F60)</f>
        <v>0</v>
      </c>
      <c r="G53" s="311">
        <f t="shared" si="8"/>
        <v>0</v>
      </c>
      <c r="H53" s="312"/>
      <c r="I53" s="313"/>
      <c r="K53" s="314"/>
      <c r="L53" s="314"/>
      <c r="M53" s="314"/>
    </row>
    <row r="54" spans="1:13" s="138" customFormat="1" ht="20.100000000000001" customHeight="1">
      <c r="A54" s="310" t="s">
        <v>128</v>
      </c>
      <c r="B54" s="9">
        <v>1061</v>
      </c>
      <c r="C54" s="311">
        <v>0</v>
      </c>
      <c r="D54" s="311">
        <v>0</v>
      </c>
      <c r="E54" s="311">
        <v>0</v>
      </c>
      <c r="F54" s="311">
        <v>0</v>
      </c>
      <c r="G54" s="311">
        <f t="shared" si="8"/>
        <v>0</v>
      </c>
      <c r="H54" s="312"/>
      <c r="I54" s="313"/>
      <c r="K54" s="311"/>
      <c r="L54" s="311"/>
      <c r="M54" s="311"/>
    </row>
    <row r="55" spans="1:13" s="138" customFormat="1" ht="20.100000000000001" customHeight="1">
      <c r="A55" s="310" t="s">
        <v>129</v>
      </c>
      <c r="B55" s="9">
        <v>1062</v>
      </c>
      <c r="C55" s="311">
        <v>0</v>
      </c>
      <c r="D55" s="311">
        <v>0</v>
      </c>
      <c r="E55" s="311">
        <v>0</v>
      </c>
      <c r="F55" s="311">
        <v>0</v>
      </c>
      <c r="G55" s="311">
        <f t="shared" si="1"/>
        <v>0</v>
      </c>
      <c r="H55" s="312"/>
      <c r="I55" s="313"/>
      <c r="K55" s="311"/>
      <c r="L55" s="311"/>
      <c r="M55" s="311"/>
    </row>
    <row r="56" spans="1:13" s="138" customFormat="1" ht="20.100000000000001" customHeight="1">
      <c r="A56" s="310" t="s">
        <v>35</v>
      </c>
      <c r="B56" s="9">
        <v>1063</v>
      </c>
      <c r="C56" s="311">
        <v>0</v>
      </c>
      <c r="D56" s="311">
        <v>0</v>
      </c>
      <c r="E56" s="311">
        <v>0</v>
      </c>
      <c r="F56" s="311">
        <v>0</v>
      </c>
      <c r="G56" s="311">
        <f t="shared" si="1"/>
        <v>0</v>
      </c>
      <c r="H56" s="312"/>
      <c r="I56" s="313"/>
      <c r="K56" s="311"/>
      <c r="L56" s="311"/>
      <c r="M56" s="311"/>
    </row>
    <row r="57" spans="1:13" s="138" customFormat="1" ht="20.100000000000001" customHeight="1">
      <c r="A57" s="310" t="s">
        <v>36</v>
      </c>
      <c r="B57" s="9">
        <v>1064</v>
      </c>
      <c r="C57" s="311">
        <v>0</v>
      </c>
      <c r="D57" s="311">
        <v>0</v>
      </c>
      <c r="E57" s="311">
        <v>0</v>
      </c>
      <c r="F57" s="311">
        <v>0</v>
      </c>
      <c r="G57" s="311">
        <f t="shared" si="1"/>
        <v>0</v>
      </c>
      <c r="H57" s="312"/>
      <c r="I57" s="313"/>
      <c r="K57" s="311"/>
      <c r="L57" s="311"/>
      <c r="M57" s="311"/>
    </row>
    <row r="58" spans="1:13" s="138" customFormat="1" ht="20.100000000000001" customHeight="1">
      <c r="A58" s="310" t="s">
        <v>56</v>
      </c>
      <c r="B58" s="9">
        <v>1065</v>
      </c>
      <c r="C58" s="311">
        <v>0</v>
      </c>
      <c r="D58" s="311">
        <v>0</v>
      </c>
      <c r="E58" s="311">
        <v>0</v>
      </c>
      <c r="F58" s="311">
        <v>0</v>
      </c>
      <c r="G58" s="311">
        <f t="shared" si="1"/>
        <v>0</v>
      </c>
      <c r="H58" s="312"/>
      <c r="I58" s="313"/>
      <c r="K58" s="311"/>
      <c r="L58" s="311"/>
      <c r="M58" s="311"/>
    </row>
    <row r="59" spans="1:13" s="138" customFormat="1" ht="20.100000000000001" customHeight="1">
      <c r="A59" s="310" t="s">
        <v>68</v>
      </c>
      <c r="B59" s="9">
        <v>1066</v>
      </c>
      <c r="C59" s="311">
        <v>0</v>
      </c>
      <c r="D59" s="311">
        <v>0</v>
      </c>
      <c r="E59" s="311">
        <v>0</v>
      </c>
      <c r="F59" s="311">
        <v>0</v>
      </c>
      <c r="G59" s="311">
        <f t="shared" si="1"/>
        <v>0</v>
      </c>
      <c r="H59" s="312"/>
      <c r="I59" s="313"/>
      <c r="K59" s="311"/>
      <c r="L59" s="311"/>
      <c r="M59" s="311"/>
    </row>
    <row r="60" spans="1:13" s="138" customFormat="1" ht="20.100000000000001" customHeight="1">
      <c r="A60" s="310" t="s">
        <v>104</v>
      </c>
      <c r="B60" s="9">
        <v>1067</v>
      </c>
      <c r="C60" s="311">
        <v>0</v>
      </c>
      <c r="D60" s="311">
        <v>0</v>
      </c>
      <c r="E60" s="311">
        <v>0</v>
      </c>
      <c r="F60" s="311">
        <v>0</v>
      </c>
      <c r="G60" s="311">
        <f t="shared" si="1"/>
        <v>0</v>
      </c>
      <c r="H60" s="312"/>
      <c r="I60" s="313"/>
      <c r="K60" s="311"/>
      <c r="L60" s="311"/>
      <c r="M60" s="311"/>
    </row>
    <row r="61" spans="1:13" s="15" customFormat="1" ht="20.100000000000001" customHeight="1">
      <c r="A61" s="299" t="s">
        <v>251</v>
      </c>
      <c r="B61" s="11">
        <v>1070</v>
      </c>
      <c r="C61" s="323">
        <v>66</v>
      </c>
      <c r="D61" s="323">
        <f>SUM(D62:D64)</f>
        <v>53</v>
      </c>
      <c r="E61" s="323">
        <f>SUM(E62:E64)</f>
        <v>39</v>
      </c>
      <c r="F61" s="323">
        <f>SUM(F62:F64)</f>
        <v>53</v>
      </c>
      <c r="G61" s="316">
        <f>F61-E61</f>
        <v>14</v>
      </c>
      <c r="H61" s="317">
        <f t="shared" si="0"/>
        <v>135.89743589743591</v>
      </c>
      <c r="I61" s="318"/>
      <c r="K61" s="323"/>
      <c r="L61" s="323"/>
      <c r="M61" s="323"/>
    </row>
    <row r="62" spans="1:13" s="138" customFormat="1" ht="20.100000000000001" customHeight="1">
      <c r="A62" s="310" t="s">
        <v>148</v>
      </c>
      <c r="B62" s="9">
        <v>1071</v>
      </c>
      <c r="C62" s="311">
        <v>0</v>
      </c>
      <c r="D62" s="311">
        <v>0</v>
      </c>
      <c r="E62" s="311">
        <v>0</v>
      </c>
      <c r="F62" s="311">
        <v>0</v>
      </c>
      <c r="G62" s="311">
        <f t="shared" si="1"/>
        <v>0</v>
      </c>
      <c r="H62" s="312"/>
      <c r="I62" s="313"/>
      <c r="K62" s="311"/>
      <c r="L62" s="311"/>
      <c r="M62" s="311"/>
    </row>
    <row r="63" spans="1:13" s="138" customFormat="1" ht="20.100000000000001" customHeight="1">
      <c r="A63" s="310" t="s">
        <v>283</v>
      </c>
      <c r="B63" s="9">
        <v>1072</v>
      </c>
      <c r="C63" s="311">
        <v>0</v>
      </c>
      <c r="D63" s="311">
        <v>0</v>
      </c>
      <c r="E63" s="311">
        <v>0</v>
      </c>
      <c r="F63" s="311">
        <v>0</v>
      </c>
      <c r="G63" s="311">
        <f t="shared" si="1"/>
        <v>0</v>
      </c>
      <c r="H63" s="312"/>
      <c r="I63" s="313"/>
      <c r="K63" s="311"/>
      <c r="L63" s="311"/>
      <c r="M63" s="311"/>
    </row>
    <row r="64" spans="1:13" s="15" customFormat="1" ht="20.100000000000001" customHeight="1">
      <c r="A64" s="299" t="s">
        <v>252</v>
      </c>
      <c r="B64" s="11">
        <v>1073</v>
      </c>
      <c r="C64" s="316">
        <v>66</v>
      </c>
      <c r="D64" s="316">
        <f>D65+D66+D67+D68+D69</f>
        <v>53</v>
      </c>
      <c r="E64" s="316">
        <f>E65+E66+E67+E68+E69</f>
        <v>39</v>
      </c>
      <c r="F64" s="316">
        <f>F65+F66+F67+F68+F69</f>
        <v>53</v>
      </c>
      <c r="G64" s="316">
        <f t="shared" si="1"/>
        <v>14</v>
      </c>
      <c r="H64" s="317">
        <f t="shared" si="0"/>
        <v>135.89743589743591</v>
      </c>
      <c r="I64" s="318"/>
      <c r="K64" s="316"/>
      <c r="L64" s="316"/>
      <c r="M64" s="316"/>
    </row>
    <row r="65" spans="1:13" s="307" customFormat="1" ht="20.100000000000001" customHeight="1">
      <c r="A65" s="157" t="s">
        <v>452</v>
      </c>
      <c r="B65" s="157" t="s">
        <v>453</v>
      </c>
      <c r="C65" s="319">
        <v>4</v>
      </c>
      <c r="D65" s="319">
        <f>F65+K65+L65+M65</f>
        <v>3</v>
      </c>
      <c r="E65" s="319">
        <v>2</v>
      </c>
      <c r="F65" s="319">
        <v>3</v>
      </c>
      <c r="G65" s="319">
        <f t="shared" si="1"/>
        <v>1</v>
      </c>
      <c r="H65" s="312">
        <f t="shared" ref="H65:H66" si="10">(F65/E65)*100</f>
        <v>150</v>
      </c>
      <c r="I65" s="331"/>
      <c r="K65" s="319"/>
      <c r="L65" s="319"/>
      <c r="M65" s="319"/>
    </row>
    <row r="66" spans="1:13" s="307" customFormat="1" ht="20.100000000000001" customHeight="1">
      <c r="A66" s="157" t="s">
        <v>364</v>
      </c>
      <c r="B66" s="157" t="s">
        <v>454</v>
      </c>
      <c r="C66" s="319">
        <v>48.8</v>
      </c>
      <c r="D66" s="319">
        <f t="shared" ref="D66:D69" si="11">F66+K66+L66+M66</f>
        <v>46</v>
      </c>
      <c r="E66" s="319">
        <v>37</v>
      </c>
      <c r="F66" s="319">
        <v>46</v>
      </c>
      <c r="G66" s="319">
        <f t="shared" si="1"/>
        <v>9</v>
      </c>
      <c r="H66" s="312">
        <f t="shared" si="10"/>
        <v>124.32432432432432</v>
      </c>
      <c r="I66" s="331"/>
      <c r="K66" s="319"/>
      <c r="L66" s="319"/>
      <c r="M66" s="319"/>
    </row>
    <row r="67" spans="1:13" s="307" customFormat="1" ht="20.100000000000001" customHeight="1">
      <c r="A67" s="157" t="s">
        <v>440</v>
      </c>
      <c r="B67" s="157" t="s">
        <v>455</v>
      </c>
      <c r="C67" s="319">
        <v>13.2</v>
      </c>
      <c r="D67" s="319">
        <f t="shared" si="11"/>
        <v>4</v>
      </c>
      <c r="E67" s="319">
        <v>0</v>
      </c>
      <c r="F67" s="319">
        <v>4</v>
      </c>
      <c r="G67" s="319">
        <f t="shared" si="1"/>
        <v>4</v>
      </c>
      <c r="H67" s="312"/>
      <c r="I67" s="325"/>
      <c r="K67" s="319"/>
      <c r="L67" s="319"/>
      <c r="M67" s="319"/>
    </row>
    <row r="68" spans="1:13" s="307" customFormat="1" ht="20.100000000000001" customHeight="1">
      <c r="A68" s="157"/>
      <c r="B68" s="157" t="s">
        <v>456</v>
      </c>
      <c r="C68" s="319">
        <v>0</v>
      </c>
      <c r="D68" s="319">
        <f t="shared" si="11"/>
        <v>0</v>
      </c>
      <c r="E68" s="319">
        <v>0</v>
      </c>
      <c r="F68" s="319">
        <v>0</v>
      </c>
      <c r="G68" s="319">
        <f t="shared" si="1"/>
        <v>0</v>
      </c>
      <c r="H68" s="312"/>
      <c r="I68" s="331"/>
      <c r="K68" s="319"/>
      <c r="L68" s="319"/>
      <c r="M68" s="319"/>
    </row>
    <row r="69" spans="1:13" s="307" customFormat="1" ht="20.100000000000001" customHeight="1">
      <c r="A69" s="157" t="s">
        <v>457</v>
      </c>
      <c r="B69" s="157" t="s">
        <v>458</v>
      </c>
      <c r="C69" s="319">
        <v>0</v>
      </c>
      <c r="D69" s="319">
        <f t="shared" si="11"/>
        <v>0</v>
      </c>
      <c r="E69" s="319">
        <v>0</v>
      </c>
      <c r="F69" s="319">
        <v>0</v>
      </c>
      <c r="G69" s="319">
        <f t="shared" si="1"/>
        <v>0</v>
      </c>
      <c r="H69" s="312"/>
      <c r="I69" s="331"/>
      <c r="K69" s="319"/>
      <c r="L69" s="319"/>
      <c r="M69" s="319"/>
    </row>
    <row r="70" spans="1:13" s="15" customFormat="1" ht="20.100000000000001" customHeight="1">
      <c r="A70" s="332" t="s">
        <v>69</v>
      </c>
      <c r="B70" s="11">
        <v>1080</v>
      </c>
      <c r="C70" s="323">
        <v>9198</v>
      </c>
      <c r="D70" s="323">
        <f>SUM(D71:D76)</f>
        <v>921.99999999999989</v>
      </c>
      <c r="E70" s="323">
        <f>SUM(E71:E76)</f>
        <v>9020.7999999999993</v>
      </c>
      <c r="F70" s="323">
        <f>SUM(F71:F76)</f>
        <v>921.99999999999989</v>
      </c>
      <c r="G70" s="316">
        <f t="shared" si="1"/>
        <v>-8098.7999999999993</v>
      </c>
      <c r="H70" s="317">
        <f t="shared" si="0"/>
        <v>10.220822986874778</v>
      </c>
      <c r="I70" s="318"/>
      <c r="K70" s="323"/>
      <c r="L70" s="323"/>
      <c r="M70" s="323"/>
    </row>
    <row r="71" spans="1:13" s="138" customFormat="1" ht="20.100000000000001" customHeight="1">
      <c r="A71" s="310" t="s">
        <v>148</v>
      </c>
      <c r="B71" s="9">
        <v>1081</v>
      </c>
      <c r="C71" s="311">
        <v>0</v>
      </c>
      <c r="D71" s="311">
        <v>0</v>
      </c>
      <c r="E71" s="311">
        <v>0</v>
      </c>
      <c r="F71" s="311">
        <v>0</v>
      </c>
      <c r="G71" s="311">
        <f t="shared" si="1"/>
        <v>0</v>
      </c>
      <c r="H71" s="312"/>
      <c r="I71" s="313"/>
      <c r="K71" s="311"/>
      <c r="L71" s="311"/>
      <c r="M71" s="311"/>
    </row>
    <row r="72" spans="1:13" s="138" customFormat="1" ht="20.100000000000001" customHeight="1">
      <c r="A72" s="310" t="s">
        <v>372</v>
      </c>
      <c r="B72" s="9">
        <v>1082</v>
      </c>
      <c r="C72" s="311">
        <v>0</v>
      </c>
      <c r="D72" s="311">
        <v>0</v>
      </c>
      <c r="E72" s="311">
        <v>0</v>
      </c>
      <c r="F72" s="311">
        <v>0</v>
      </c>
      <c r="G72" s="311">
        <f t="shared" si="1"/>
        <v>0</v>
      </c>
      <c r="H72" s="312"/>
      <c r="I72" s="313"/>
      <c r="K72" s="311"/>
      <c r="L72" s="311"/>
      <c r="M72" s="311"/>
    </row>
    <row r="73" spans="1:13" s="138" customFormat="1" ht="20.100000000000001" customHeight="1">
      <c r="A73" s="310" t="s">
        <v>63</v>
      </c>
      <c r="B73" s="9">
        <v>1083</v>
      </c>
      <c r="C73" s="311">
        <v>0</v>
      </c>
      <c r="D73" s="311">
        <v>0</v>
      </c>
      <c r="E73" s="311">
        <v>0</v>
      </c>
      <c r="F73" s="311">
        <v>0</v>
      </c>
      <c r="G73" s="311">
        <f t="shared" si="1"/>
        <v>0</v>
      </c>
      <c r="H73" s="312"/>
      <c r="I73" s="313"/>
      <c r="K73" s="311"/>
      <c r="L73" s="311"/>
      <c r="M73" s="311"/>
    </row>
    <row r="74" spans="1:13" s="138" customFormat="1" ht="20.100000000000001" customHeight="1">
      <c r="A74" s="310" t="s">
        <v>47</v>
      </c>
      <c r="B74" s="9">
        <v>1084</v>
      </c>
      <c r="C74" s="311">
        <v>0</v>
      </c>
      <c r="D74" s="311">
        <v>0</v>
      </c>
      <c r="E74" s="311">
        <v>0</v>
      </c>
      <c r="F74" s="311">
        <v>0</v>
      </c>
      <c r="G74" s="311">
        <f t="shared" si="1"/>
        <v>0</v>
      </c>
      <c r="H74" s="312"/>
      <c r="I74" s="313"/>
      <c r="K74" s="311"/>
      <c r="L74" s="311"/>
      <c r="M74" s="311"/>
    </row>
    <row r="75" spans="1:13" s="138" customFormat="1" ht="20.100000000000001" customHeight="1">
      <c r="A75" s="310" t="s">
        <v>54</v>
      </c>
      <c r="B75" s="9">
        <v>1085</v>
      </c>
      <c r="C75" s="311">
        <v>0</v>
      </c>
      <c r="D75" s="311">
        <v>0</v>
      </c>
      <c r="E75" s="311">
        <v>0</v>
      </c>
      <c r="F75" s="311">
        <v>0</v>
      </c>
      <c r="G75" s="311">
        <f t="shared" si="1"/>
        <v>0</v>
      </c>
      <c r="H75" s="312"/>
      <c r="I75" s="313"/>
      <c r="K75" s="311"/>
      <c r="L75" s="311"/>
      <c r="M75" s="311"/>
    </row>
    <row r="76" spans="1:13" s="15" customFormat="1" ht="20.100000000000001" customHeight="1">
      <c r="A76" s="299" t="s">
        <v>177</v>
      </c>
      <c r="B76" s="11">
        <v>1086</v>
      </c>
      <c r="C76" s="316">
        <v>9198</v>
      </c>
      <c r="D76" s="316">
        <f>D77+D78+D79+D80+D81+D82+D83+D84+D85</f>
        <v>921.99999999999989</v>
      </c>
      <c r="E76" s="316">
        <f>E77+E78+E79+E80+E81+E82+E83+E84+E85</f>
        <v>9020.7999999999993</v>
      </c>
      <c r="F76" s="316">
        <f>F77+F78+F79+F80+F81+F82+F83+F84+F85</f>
        <v>921.99999999999989</v>
      </c>
      <c r="G76" s="316">
        <f t="shared" si="1"/>
        <v>-8098.7999999999993</v>
      </c>
      <c r="H76" s="317">
        <f t="shared" si="0"/>
        <v>10.220822986874778</v>
      </c>
      <c r="I76" s="318"/>
      <c r="K76" s="316"/>
      <c r="L76" s="316"/>
      <c r="M76" s="316"/>
    </row>
    <row r="77" spans="1:13" s="307" customFormat="1" ht="20.100000000000001" customHeight="1">
      <c r="A77" s="157" t="s">
        <v>452</v>
      </c>
      <c r="B77" s="157" t="s">
        <v>459</v>
      </c>
      <c r="C77" s="319">
        <v>0</v>
      </c>
      <c r="D77" s="311">
        <f t="shared" ref="D77" si="12">F77+K77+L77</f>
        <v>3.6</v>
      </c>
      <c r="E77" s="319">
        <v>0</v>
      </c>
      <c r="F77" s="319">
        <v>3.6</v>
      </c>
      <c r="G77" s="319">
        <f t="shared" ref="G77:G85" si="13">F77-E77</f>
        <v>3.6</v>
      </c>
      <c r="H77" s="312"/>
      <c r="I77" s="331"/>
      <c r="K77" s="319"/>
      <c r="L77" s="319"/>
      <c r="M77" s="319"/>
    </row>
    <row r="78" spans="1:13" s="307" customFormat="1" ht="72" customHeight="1">
      <c r="A78" s="157" t="s">
        <v>460</v>
      </c>
      <c r="B78" s="157" t="s">
        <v>461</v>
      </c>
      <c r="C78" s="319">
        <v>8985.2999999999993</v>
      </c>
      <c r="D78" s="319">
        <f>F78+K78+L78+M78</f>
        <v>224.3</v>
      </c>
      <c r="E78" s="319">
        <v>8800</v>
      </c>
      <c r="F78" s="319">
        <v>224.3</v>
      </c>
      <c r="G78" s="319">
        <f t="shared" si="13"/>
        <v>-8575.7000000000007</v>
      </c>
      <c r="H78" s="312">
        <f t="shared" si="0"/>
        <v>2.5488636363636368</v>
      </c>
      <c r="I78" s="349" t="s">
        <v>578</v>
      </c>
      <c r="K78" s="319"/>
      <c r="L78" s="319"/>
      <c r="M78" s="319"/>
    </row>
    <row r="79" spans="1:13" s="307" customFormat="1" ht="20.100000000000001" customHeight="1">
      <c r="A79" s="157" t="s">
        <v>462</v>
      </c>
      <c r="B79" s="157" t="s">
        <v>463</v>
      </c>
      <c r="C79" s="319">
        <v>1.5</v>
      </c>
      <c r="D79" s="319">
        <f t="shared" ref="D79:D85" si="14">F79+K79+L79+M79</f>
        <v>0</v>
      </c>
      <c r="E79" s="319">
        <v>3</v>
      </c>
      <c r="F79" s="319">
        <v>0</v>
      </c>
      <c r="G79" s="319">
        <f t="shared" si="13"/>
        <v>-3</v>
      </c>
      <c r="H79" s="312">
        <f t="shared" si="0"/>
        <v>0</v>
      </c>
      <c r="I79" s="331"/>
      <c r="K79" s="319"/>
      <c r="L79" s="319"/>
      <c r="M79" s="319"/>
    </row>
    <row r="80" spans="1:13" s="307" customFormat="1" ht="20.100000000000001" customHeight="1">
      <c r="A80" s="157" t="s">
        <v>464</v>
      </c>
      <c r="B80" s="157" t="s">
        <v>465</v>
      </c>
      <c r="C80" s="319">
        <v>102.5</v>
      </c>
      <c r="D80" s="319">
        <f t="shared" si="14"/>
        <v>83.5</v>
      </c>
      <c r="E80" s="319">
        <v>90.8</v>
      </c>
      <c r="F80" s="319">
        <v>83.5</v>
      </c>
      <c r="G80" s="319">
        <f t="shared" si="13"/>
        <v>-7.2999999999999972</v>
      </c>
      <c r="H80" s="312">
        <f t="shared" si="0"/>
        <v>91.960352422907491</v>
      </c>
      <c r="I80" s="333"/>
      <c r="K80" s="319"/>
      <c r="L80" s="319"/>
      <c r="M80" s="319"/>
    </row>
    <row r="81" spans="1:13" s="307" customFormat="1" ht="20.100000000000001" customHeight="1">
      <c r="A81" s="157" t="s">
        <v>466</v>
      </c>
      <c r="B81" s="157" t="s">
        <v>467</v>
      </c>
      <c r="C81" s="319">
        <v>12.1</v>
      </c>
      <c r="D81" s="319">
        <f t="shared" si="14"/>
        <v>11</v>
      </c>
      <c r="E81" s="319">
        <v>15</v>
      </c>
      <c r="F81" s="319">
        <v>11</v>
      </c>
      <c r="G81" s="319">
        <f t="shared" si="13"/>
        <v>-4</v>
      </c>
      <c r="H81" s="312">
        <f t="shared" si="0"/>
        <v>73.333333333333329</v>
      </c>
      <c r="I81" s="320"/>
      <c r="K81" s="319"/>
      <c r="L81" s="319"/>
      <c r="M81" s="319"/>
    </row>
    <row r="82" spans="1:13" s="354" customFormat="1" ht="20.100000000000001" customHeight="1">
      <c r="A82" s="350" t="s">
        <v>582</v>
      </c>
      <c r="B82" s="350" t="s">
        <v>468</v>
      </c>
      <c r="C82" s="351">
        <v>0</v>
      </c>
      <c r="D82" s="351">
        <f t="shared" si="14"/>
        <v>452.7</v>
      </c>
      <c r="E82" s="351">
        <v>0</v>
      </c>
      <c r="F82" s="351">
        <v>452.7</v>
      </c>
      <c r="G82" s="351">
        <f t="shared" si="13"/>
        <v>452.7</v>
      </c>
      <c r="H82" s="352"/>
      <c r="I82" s="353"/>
      <c r="K82" s="351"/>
      <c r="L82" s="351"/>
      <c r="M82" s="351"/>
    </row>
    <row r="83" spans="1:13" s="307" customFormat="1" ht="20.100000000000001" customHeight="1">
      <c r="A83" s="157" t="s">
        <v>497</v>
      </c>
      <c r="B83" s="157" t="s">
        <v>498</v>
      </c>
      <c r="C83" s="319">
        <v>46</v>
      </c>
      <c r="D83" s="319">
        <f t="shared" si="14"/>
        <v>28.3</v>
      </c>
      <c r="E83" s="319">
        <v>49</v>
      </c>
      <c r="F83" s="319">
        <v>28.3</v>
      </c>
      <c r="G83" s="319">
        <f t="shared" si="13"/>
        <v>-20.7</v>
      </c>
      <c r="H83" s="312">
        <f t="shared" si="0"/>
        <v>57.755102040816332</v>
      </c>
      <c r="I83" s="331"/>
      <c r="K83" s="319"/>
      <c r="L83" s="319"/>
      <c r="M83" s="319"/>
    </row>
    <row r="84" spans="1:13" s="307" customFormat="1" ht="20.100000000000001" customHeight="1">
      <c r="A84" s="157" t="s">
        <v>577</v>
      </c>
      <c r="B84" s="157" t="s">
        <v>469</v>
      </c>
      <c r="C84" s="319">
        <v>9</v>
      </c>
      <c r="D84" s="319">
        <f t="shared" si="14"/>
        <v>12.1</v>
      </c>
      <c r="E84" s="319">
        <v>12</v>
      </c>
      <c r="F84" s="319">
        <v>12.1</v>
      </c>
      <c r="G84" s="319">
        <f t="shared" si="13"/>
        <v>9.9999999999999645E-2</v>
      </c>
      <c r="H84" s="312"/>
      <c r="I84" s="331"/>
      <c r="K84" s="319"/>
      <c r="L84" s="319"/>
      <c r="M84" s="319"/>
    </row>
    <row r="85" spans="1:13" s="307" customFormat="1" ht="25.8" customHeight="1">
      <c r="A85" s="157" t="s">
        <v>440</v>
      </c>
      <c r="B85" s="157" t="s">
        <v>499</v>
      </c>
      <c r="C85" s="319">
        <v>41.6</v>
      </c>
      <c r="D85" s="319">
        <f t="shared" si="14"/>
        <v>106.5</v>
      </c>
      <c r="E85" s="319">
        <v>51</v>
      </c>
      <c r="F85" s="319">
        <v>106.5</v>
      </c>
      <c r="G85" s="319">
        <f t="shared" si="13"/>
        <v>55.5</v>
      </c>
      <c r="H85" s="312">
        <f t="shared" si="0"/>
        <v>208.82352941176472</v>
      </c>
      <c r="I85" s="334" t="s">
        <v>579</v>
      </c>
      <c r="K85" s="319"/>
      <c r="L85" s="319"/>
      <c r="M85" s="319"/>
    </row>
    <row r="86" spans="1:13" s="303" customFormat="1" ht="20.100000000000001" customHeight="1">
      <c r="A86" s="299" t="s">
        <v>4</v>
      </c>
      <c r="B86" s="11">
        <v>1100</v>
      </c>
      <c r="C86" s="329">
        <v>-8691.0000000000018</v>
      </c>
      <c r="D86" s="329">
        <f t="shared" ref="D86" si="15">D23-D24+D64-D70</f>
        <v>-186.99999999999602</v>
      </c>
      <c r="E86" s="329">
        <f t="shared" ref="E86:F86" si="16">E23-E24+E64-E70</f>
        <v>-8223.4999999999982</v>
      </c>
      <c r="F86" s="329">
        <f t="shared" si="16"/>
        <v>-186.99999999999602</v>
      </c>
      <c r="G86" s="316">
        <f t="shared" ref="G86:G104" si="17">F86-E86</f>
        <v>8036.5000000000018</v>
      </c>
      <c r="H86" s="317">
        <f t="shared" si="0"/>
        <v>2.2739709369489396</v>
      </c>
      <c r="I86" s="318"/>
      <c r="K86" s="329"/>
      <c r="L86" s="329"/>
      <c r="M86" s="329"/>
    </row>
    <row r="87" spans="1:13" ht="20.100000000000001" customHeight="1">
      <c r="A87" s="310" t="s">
        <v>93</v>
      </c>
      <c r="B87" s="9">
        <v>1110</v>
      </c>
      <c r="C87" s="311">
        <v>0</v>
      </c>
      <c r="D87" s="311">
        <v>0</v>
      </c>
      <c r="E87" s="311">
        <v>0</v>
      </c>
      <c r="F87" s="311">
        <v>0</v>
      </c>
      <c r="G87" s="311">
        <f t="shared" si="17"/>
        <v>0</v>
      </c>
      <c r="H87" s="312"/>
      <c r="I87" s="313"/>
      <c r="K87" s="311"/>
      <c r="L87" s="311"/>
      <c r="M87" s="311"/>
    </row>
    <row r="88" spans="1:13" ht="20.100000000000001" customHeight="1">
      <c r="A88" s="310" t="s">
        <v>97</v>
      </c>
      <c r="B88" s="9">
        <v>1120</v>
      </c>
      <c r="C88" s="311">
        <v>0</v>
      </c>
      <c r="D88" s="311">
        <v>0</v>
      </c>
      <c r="E88" s="311">
        <v>0</v>
      </c>
      <c r="F88" s="311">
        <v>0</v>
      </c>
      <c r="G88" s="311">
        <f>F88-E88</f>
        <v>0</v>
      </c>
      <c r="H88" s="312"/>
      <c r="I88" s="313"/>
      <c r="K88" s="311"/>
      <c r="L88" s="311"/>
      <c r="M88" s="311"/>
    </row>
    <row r="89" spans="1:13" ht="20.100000000000001" customHeight="1">
      <c r="A89" s="310" t="s">
        <v>94</v>
      </c>
      <c r="B89" s="9">
        <v>1130</v>
      </c>
      <c r="C89" s="311">
        <v>0</v>
      </c>
      <c r="D89" s="311">
        <v>0</v>
      </c>
      <c r="E89" s="311">
        <v>0</v>
      </c>
      <c r="F89" s="311">
        <v>0</v>
      </c>
      <c r="G89" s="311">
        <f t="shared" si="17"/>
        <v>0</v>
      </c>
      <c r="H89" s="312"/>
      <c r="I89" s="313"/>
      <c r="K89" s="311"/>
      <c r="L89" s="311"/>
      <c r="M89" s="311"/>
    </row>
    <row r="90" spans="1:13" ht="20.100000000000001" customHeight="1">
      <c r="A90" s="310" t="s">
        <v>96</v>
      </c>
      <c r="B90" s="9">
        <v>1140</v>
      </c>
      <c r="C90" s="311">
        <v>0</v>
      </c>
      <c r="D90" s="311">
        <f>F90</f>
        <v>1</v>
      </c>
      <c r="E90" s="311">
        <v>0</v>
      </c>
      <c r="F90" s="311">
        <v>1</v>
      </c>
      <c r="G90" s="311">
        <f t="shared" si="17"/>
        <v>1</v>
      </c>
      <c r="H90" s="312"/>
      <c r="I90" s="313"/>
      <c r="K90" s="311"/>
      <c r="L90" s="311"/>
      <c r="M90" s="311"/>
    </row>
    <row r="91" spans="1:13" s="303" customFormat="1" ht="20.100000000000001" customHeight="1">
      <c r="A91" s="299" t="s">
        <v>253</v>
      </c>
      <c r="B91" s="11">
        <v>1150</v>
      </c>
      <c r="C91" s="323">
        <v>8988</v>
      </c>
      <c r="D91" s="323">
        <f>SUM(D92:D93)</f>
        <v>250</v>
      </c>
      <c r="E91" s="323">
        <f>SUM(E92:E93)</f>
        <v>8803</v>
      </c>
      <c r="F91" s="323">
        <f>SUM(F92:F93)</f>
        <v>250</v>
      </c>
      <c r="G91" s="316">
        <f t="shared" si="17"/>
        <v>-8553</v>
      </c>
      <c r="H91" s="317">
        <f t="shared" si="0"/>
        <v>2.8399409292286721</v>
      </c>
      <c r="I91" s="318"/>
      <c r="K91" s="323"/>
      <c r="L91" s="323"/>
      <c r="M91" s="323"/>
    </row>
    <row r="92" spans="1:13" ht="20.100000000000001" customHeight="1">
      <c r="A92" s="310" t="s">
        <v>148</v>
      </c>
      <c r="B92" s="9">
        <v>1151</v>
      </c>
      <c r="C92" s="311">
        <v>0</v>
      </c>
      <c r="D92" s="311">
        <v>0</v>
      </c>
      <c r="E92" s="311">
        <v>0</v>
      </c>
      <c r="F92" s="311">
        <v>0</v>
      </c>
      <c r="G92" s="311">
        <f t="shared" si="17"/>
        <v>0</v>
      </c>
      <c r="H92" s="312"/>
      <c r="I92" s="313"/>
      <c r="K92" s="311"/>
      <c r="L92" s="311"/>
      <c r="M92" s="311"/>
    </row>
    <row r="93" spans="1:13" ht="20.100000000000001" customHeight="1">
      <c r="A93" s="310" t="s">
        <v>254</v>
      </c>
      <c r="B93" s="9">
        <v>1152</v>
      </c>
      <c r="C93" s="311">
        <v>8988</v>
      </c>
      <c r="D93" s="311">
        <f>D94+D95</f>
        <v>250</v>
      </c>
      <c r="E93" s="311">
        <f>E94+E95</f>
        <v>8803</v>
      </c>
      <c r="F93" s="311">
        <f>F94+F95</f>
        <v>250</v>
      </c>
      <c r="G93" s="311">
        <f t="shared" si="17"/>
        <v>-8553</v>
      </c>
      <c r="H93" s="312">
        <f t="shared" si="0"/>
        <v>2.8399409292286721</v>
      </c>
      <c r="I93" s="313"/>
      <c r="K93" s="311"/>
      <c r="L93" s="311"/>
      <c r="M93" s="311"/>
    </row>
    <row r="94" spans="1:13" ht="36" customHeight="1">
      <c r="A94" s="157" t="s">
        <v>460</v>
      </c>
      <c r="B94" s="157" t="s">
        <v>470</v>
      </c>
      <c r="C94" s="319">
        <v>8984</v>
      </c>
      <c r="D94" s="319">
        <f>F94+K94+L94+M94</f>
        <v>246.7</v>
      </c>
      <c r="E94" s="319">
        <v>8800</v>
      </c>
      <c r="F94" s="319">
        <v>246.7</v>
      </c>
      <c r="G94" s="319">
        <f t="shared" ref="G94:G95" si="18">F94-E94</f>
        <v>-8553.2999999999993</v>
      </c>
      <c r="H94" s="312">
        <f t="shared" si="0"/>
        <v>2.8034090909090907</v>
      </c>
      <c r="I94" s="333" t="s">
        <v>580</v>
      </c>
      <c r="K94" s="319"/>
      <c r="L94" s="319"/>
      <c r="M94" s="319"/>
    </row>
    <row r="95" spans="1:13" ht="20.100000000000001" customHeight="1">
      <c r="A95" s="157" t="s">
        <v>440</v>
      </c>
      <c r="B95" s="157" t="s">
        <v>471</v>
      </c>
      <c r="C95" s="319">
        <v>4</v>
      </c>
      <c r="D95" s="319">
        <f>F95+K95+L95+M95</f>
        <v>3.3</v>
      </c>
      <c r="E95" s="319">
        <v>3</v>
      </c>
      <c r="F95" s="319">
        <v>3.3</v>
      </c>
      <c r="G95" s="319">
        <f t="shared" si="18"/>
        <v>0.29999999999999982</v>
      </c>
      <c r="H95" s="312">
        <f t="shared" si="0"/>
        <v>109.99999999999999</v>
      </c>
      <c r="I95" s="325"/>
      <c r="K95" s="319"/>
      <c r="L95" s="319"/>
      <c r="M95" s="319"/>
    </row>
    <row r="96" spans="1:13" s="303" customFormat="1" ht="20.100000000000001" customHeight="1">
      <c r="A96" s="299" t="s">
        <v>255</v>
      </c>
      <c r="B96" s="11">
        <v>1160</v>
      </c>
      <c r="C96" s="323">
        <v>0</v>
      </c>
      <c r="D96" s="323">
        <f>SUM(D97:D98)</f>
        <v>0</v>
      </c>
      <c r="E96" s="323">
        <f>SUM(E97:E98)</f>
        <v>0</v>
      </c>
      <c r="F96" s="323">
        <f>SUM(F97:F98)</f>
        <v>0</v>
      </c>
      <c r="G96" s="316">
        <f t="shared" si="17"/>
        <v>0</v>
      </c>
      <c r="H96" s="317"/>
      <c r="I96" s="318"/>
      <c r="K96" s="323"/>
      <c r="L96" s="323"/>
      <c r="M96" s="323"/>
    </row>
    <row r="97" spans="1:13" ht="20.100000000000001" customHeight="1">
      <c r="A97" s="310" t="s">
        <v>148</v>
      </c>
      <c r="B97" s="9">
        <v>1161</v>
      </c>
      <c r="C97" s="311">
        <v>0</v>
      </c>
      <c r="D97" s="311">
        <v>0</v>
      </c>
      <c r="E97" s="311">
        <v>0</v>
      </c>
      <c r="F97" s="311">
        <v>0</v>
      </c>
      <c r="G97" s="311"/>
      <c r="H97" s="312"/>
      <c r="I97" s="313"/>
      <c r="K97" s="311"/>
      <c r="L97" s="311"/>
      <c r="M97" s="311"/>
    </row>
    <row r="98" spans="1:13" ht="20.100000000000001" customHeight="1">
      <c r="A98" s="310" t="s">
        <v>103</v>
      </c>
      <c r="B98" s="9">
        <v>1162</v>
      </c>
      <c r="C98" s="319">
        <v>0</v>
      </c>
      <c r="D98" s="319">
        <f>F98+K98+L98+M98</f>
        <v>0</v>
      </c>
      <c r="E98" s="311">
        <v>0</v>
      </c>
      <c r="F98" s="311">
        <v>0</v>
      </c>
      <c r="G98" s="311">
        <f t="shared" si="17"/>
        <v>0</v>
      </c>
      <c r="H98" s="312"/>
      <c r="I98" s="313"/>
      <c r="K98" s="311"/>
      <c r="L98" s="311"/>
      <c r="M98" s="311"/>
    </row>
    <row r="99" spans="1:13" s="303" customFormat="1" ht="20.100000000000001" customHeight="1">
      <c r="A99" s="299" t="s">
        <v>82</v>
      </c>
      <c r="B99" s="11">
        <v>1170</v>
      </c>
      <c r="C99" s="329">
        <v>296.99999999999818</v>
      </c>
      <c r="D99" s="329">
        <f>D7-D8-D24+D61-D70+D91-D96-D90</f>
        <v>62.000000000003979</v>
      </c>
      <c r="E99" s="329">
        <f>E7-E8-E24+E61-E70+E91-E96</f>
        <v>579.50000000000182</v>
      </c>
      <c r="F99" s="329">
        <f>F7-F8-F24+F61-F70+F91-F96-F90</f>
        <v>62.000000000003979</v>
      </c>
      <c r="G99" s="316">
        <f t="shared" si="17"/>
        <v>-517.49999999999784</v>
      </c>
      <c r="H99" s="317">
        <f t="shared" si="0"/>
        <v>10.698878343400136</v>
      </c>
      <c r="I99" s="318"/>
      <c r="K99" s="329"/>
      <c r="L99" s="329"/>
      <c r="M99" s="329"/>
    </row>
    <row r="100" spans="1:13" ht="20.100000000000001" customHeight="1">
      <c r="A100" s="310" t="s">
        <v>246</v>
      </c>
      <c r="B100" s="293">
        <v>1180</v>
      </c>
      <c r="C100" s="311">
        <v>54</v>
      </c>
      <c r="D100" s="311">
        <f>F100+K100+L100+M100</f>
        <v>13</v>
      </c>
      <c r="E100" s="311">
        <v>170</v>
      </c>
      <c r="F100" s="311">
        <v>13</v>
      </c>
      <c r="G100" s="316">
        <f t="shared" ref="G100" si="19">F100-E100</f>
        <v>-157</v>
      </c>
      <c r="H100" s="317"/>
      <c r="I100" s="313"/>
      <c r="K100" s="311"/>
      <c r="L100" s="311"/>
      <c r="M100" s="311"/>
    </row>
    <row r="101" spans="1:13" ht="20.100000000000001" customHeight="1">
      <c r="A101" s="310" t="s">
        <v>247</v>
      </c>
      <c r="B101" s="293">
        <v>1181</v>
      </c>
      <c r="C101" s="311"/>
      <c r="D101" s="311"/>
      <c r="E101" s="311"/>
      <c r="F101" s="311"/>
      <c r="G101" s="311"/>
      <c r="H101" s="312"/>
      <c r="I101" s="313"/>
      <c r="K101" s="311"/>
      <c r="L101" s="311"/>
      <c r="M101" s="311"/>
    </row>
    <row r="102" spans="1:13" ht="20.100000000000001" customHeight="1">
      <c r="A102" s="310" t="s">
        <v>248</v>
      </c>
      <c r="B102" s="9">
        <v>1190</v>
      </c>
      <c r="C102" s="311"/>
      <c r="D102" s="311"/>
      <c r="E102" s="311"/>
      <c r="F102" s="311"/>
      <c r="G102" s="311"/>
      <c r="H102" s="312"/>
      <c r="I102" s="313"/>
      <c r="K102" s="311"/>
      <c r="L102" s="311"/>
      <c r="M102" s="311"/>
    </row>
    <row r="103" spans="1:13" ht="20.100000000000001" customHeight="1">
      <c r="A103" s="310" t="s">
        <v>249</v>
      </c>
      <c r="B103" s="293">
        <v>1191</v>
      </c>
      <c r="C103" s="311" t="s">
        <v>227</v>
      </c>
      <c r="D103" s="311" t="s">
        <v>227</v>
      </c>
      <c r="E103" s="311" t="s">
        <v>227</v>
      </c>
      <c r="F103" s="311" t="s">
        <v>227</v>
      </c>
      <c r="G103" s="311"/>
      <c r="H103" s="312"/>
      <c r="I103" s="313"/>
      <c r="K103" s="311"/>
      <c r="L103" s="311"/>
      <c r="M103" s="311"/>
    </row>
    <row r="104" spans="1:13" s="303" customFormat="1" ht="20.100000000000001" customHeight="1">
      <c r="A104" s="299" t="s">
        <v>275</v>
      </c>
      <c r="B104" s="11">
        <v>1200</v>
      </c>
      <c r="C104" s="329">
        <v>242.99999999999818</v>
      </c>
      <c r="D104" s="329">
        <f>D99-D100</f>
        <v>49.000000000003979</v>
      </c>
      <c r="E104" s="329">
        <f>E99-E100</f>
        <v>409.50000000000182</v>
      </c>
      <c r="F104" s="329">
        <f>F99-F100</f>
        <v>49.000000000003979</v>
      </c>
      <c r="G104" s="316">
        <f t="shared" si="17"/>
        <v>-360.49999999999784</v>
      </c>
      <c r="H104" s="317">
        <f t="shared" ref="H104:H126" si="20">(F104/E104)*100</f>
        <v>11.965811965812884</v>
      </c>
      <c r="I104" s="318"/>
      <c r="K104" s="329"/>
      <c r="L104" s="329"/>
      <c r="M104" s="329"/>
    </row>
    <row r="105" spans="1:13" ht="20.100000000000001" customHeight="1">
      <c r="A105" s="310" t="s">
        <v>25</v>
      </c>
      <c r="B105" s="293">
        <v>1201</v>
      </c>
      <c r="C105" s="311">
        <v>242.99999999999818</v>
      </c>
      <c r="D105" s="311">
        <f>D104</f>
        <v>49.000000000003979</v>
      </c>
      <c r="E105" s="311">
        <f>E104</f>
        <v>409.50000000000182</v>
      </c>
      <c r="F105" s="311">
        <f>F104</f>
        <v>49.000000000003979</v>
      </c>
      <c r="G105" s="316">
        <f t="shared" ref="G105" si="21">F105-E105</f>
        <v>-360.49999999999784</v>
      </c>
      <c r="H105" s="317">
        <f t="shared" ref="H105" si="22">(F105/E105)*100</f>
        <v>11.965811965812884</v>
      </c>
      <c r="I105" s="320"/>
      <c r="K105" s="311"/>
      <c r="L105" s="311"/>
      <c r="M105" s="311"/>
    </row>
    <row r="106" spans="1:13" ht="20.100000000000001" customHeight="1">
      <c r="A106" s="310" t="s">
        <v>26</v>
      </c>
      <c r="B106" s="293">
        <v>1202</v>
      </c>
      <c r="C106" s="311"/>
      <c r="D106" s="311"/>
      <c r="E106" s="311"/>
      <c r="F106" s="311"/>
      <c r="G106" s="311"/>
      <c r="H106" s="317"/>
      <c r="I106" s="320"/>
      <c r="K106" s="311"/>
      <c r="L106" s="311"/>
      <c r="M106" s="311"/>
    </row>
    <row r="107" spans="1:13" ht="20.100000000000001" customHeight="1">
      <c r="A107" s="299" t="s">
        <v>19</v>
      </c>
      <c r="B107" s="9">
        <v>1210</v>
      </c>
      <c r="C107" s="335">
        <v>21025</v>
      </c>
      <c r="D107" s="335">
        <f>SUM(D7,D61,D87,D89,D91,D101,D102)</f>
        <v>13793</v>
      </c>
      <c r="E107" s="335">
        <f>SUM(E7,E61,E87,E89,E91,E101,E102)</f>
        <v>22792.7</v>
      </c>
      <c r="F107" s="335">
        <f>SUM(F7,F61,F87,F89,F91,F101,F102)</f>
        <v>13793</v>
      </c>
      <c r="G107" s="316">
        <f>F107-E107</f>
        <v>-8999.7000000000007</v>
      </c>
      <c r="H107" s="317">
        <f t="shared" si="20"/>
        <v>60.514989448376014</v>
      </c>
      <c r="I107" s="313"/>
      <c r="K107" s="335"/>
      <c r="L107" s="335"/>
      <c r="M107" s="335"/>
    </row>
    <row r="108" spans="1:13" ht="20.100000000000001" customHeight="1">
      <c r="A108" s="299" t="s">
        <v>100</v>
      </c>
      <c r="B108" s="9">
        <v>1220</v>
      </c>
      <c r="C108" s="335">
        <v>20782</v>
      </c>
      <c r="D108" s="335">
        <f>SUM(D8,D24,D53,D70,D88,D90,D96,D100,D103)</f>
        <v>13743.999999999996</v>
      </c>
      <c r="E108" s="335">
        <f>SUM(E8,E24,E53,E70,E88,E90,E96,E100,E103)</f>
        <v>22383.199999999997</v>
      </c>
      <c r="F108" s="335">
        <f>SUM(F8,F24,F53,F70,F88,F90,F96,F100,F103)</f>
        <v>13743.999999999996</v>
      </c>
      <c r="G108" s="316">
        <f>F108-E108</f>
        <v>-8639.2000000000007</v>
      </c>
      <c r="H108" s="317">
        <f t="shared" si="20"/>
        <v>61.403195253583029</v>
      </c>
      <c r="I108" s="313"/>
      <c r="K108" s="335"/>
      <c r="L108" s="335"/>
      <c r="M108" s="335"/>
    </row>
    <row r="109" spans="1:13" ht="20.100000000000001" customHeight="1">
      <c r="A109" s="310" t="s">
        <v>178</v>
      </c>
      <c r="B109" s="9">
        <v>1230</v>
      </c>
      <c r="C109" s="311"/>
      <c r="D109" s="311"/>
      <c r="E109" s="311"/>
      <c r="F109" s="311"/>
      <c r="G109" s="311"/>
      <c r="H109" s="312"/>
      <c r="I109" s="313"/>
      <c r="K109" s="311"/>
      <c r="L109" s="311"/>
      <c r="M109" s="311"/>
    </row>
    <row r="110" spans="1:13" ht="24.9" customHeight="1">
      <c r="A110" s="299" t="s">
        <v>121</v>
      </c>
      <c r="B110" s="299"/>
      <c r="C110" s="299"/>
      <c r="D110" s="299"/>
      <c r="E110" s="299"/>
      <c r="F110" s="299"/>
      <c r="G110" s="299"/>
      <c r="H110" s="299"/>
      <c r="I110" s="299"/>
      <c r="K110" s="302"/>
      <c r="L110" s="302"/>
      <c r="M110" s="302"/>
    </row>
    <row r="111" spans="1:13" ht="20.100000000000001" customHeight="1">
      <c r="A111" s="310" t="s">
        <v>189</v>
      </c>
      <c r="B111" s="9">
        <v>1300</v>
      </c>
      <c r="C111" s="314">
        <v>-8691.0000000000018</v>
      </c>
      <c r="D111" s="314">
        <f t="shared" ref="D111" si="23">D86</f>
        <v>-186.99999999999602</v>
      </c>
      <c r="E111" s="314">
        <f t="shared" ref="E111:F111" si="24">E86</f>
        <v>-8223.4999999999982</v>
      </c>
      <c r="F111" s="314">
        <f t="shared" si="24"/>
        <v>-186.99999999999602</v>
      </c>
      <c r="G111" s="311">
        <f t="shared" ref="G111:G117" si="25">F111-E111</f>
        <v>8036.5000000000018</v>
      </c>
      <c r="H111" s="312">
        <f t="shared" si="20"/>
        <v>2.2739709369489396</v>
      </c>
      <c r="I111" s="313"/>
      <c r="K111" s="314"/>
      <c r="L111" s="314"/>
      <c r="M111" s="314"/>
    </row>
    <row r="112" spans="1:13" ht="20.100000000000001" customHeight="1">
      <c r="A112" s="310" t="s">
        <v>328</v>
      </c>
      <c r="B112" s="9">
        <v>1301</v>
      </c>
      <c r="C112" s="314">
        <v>9209</v>
      </c>
      <c r="D112" s="314">
        <f>D124</f>
        <v>542</v>
      </c>
      <c r="E112" s="314">
        <f>E124</f>
        <v>9090</v>
      </c>
      <c r="F112" s="314">
        <f>F124</f>
        <v>542</v>
      </c>
      <c r="G112" s="311">
        <f t="shared" si="25"/>
        <v>-8548</v>
      </c>
      <c r="H112" s="312">
        <f t="shared" si="20"/>
        <v>5.9625962596259621</v>
      </c>
      <c r="I112" s="313"/>
      <c r="K112" s="314"/>
      <c r="L112" s="314"/>
      <c r="M112" s="314"/>
    </row>
    <row r="113" spans="1:13" ht="20.100000000000001" customHeight="1">
      <c r="A113" s="310" t="s">
        <v>329</v>
      </c>
      <c r="B113" s="9">
        <v>1302</v>
      </c>
      <c r="C113" s="314">
        <v>0</v>
      </c>
      <c r="D113" s="314">
        <f>D62</f>
        <v>0</v>
      </c>
      <c r="E113" s="314">
        <f>E62</f>
        <v>0</v>
      </c>
      <c r="F113" s="314">
        <f>F62</f>
        <v>0</v>
      </c>
      <c r="G113" s="311">
        <f t="shared" si="25"/>
        <v>0</v>
      </c>
      <c r="H113" s="312"/>
      <c r="I113" s="313"/>
      <c r="K113" s="314"/>
      <c r="L113" s="314"/>
      <c r="M113" s="314"/>
    </row>
    <row r="114" spans="1:13" ht="20.100000000000001" customHeight="1">
      <c r="A114" s="310" t="s">
        <v>330</v>
      </c>
      <c r="B114" s="9">
        <v>1303</v>
      </c>
      <c r="C114" s="314">
        <v>0</v>
      </c>
      <c r="D114" s="314">
        <f>D71</f>
        <v>0</v>
      </c>
      <c r="E114" s="314">
        <f>E71</f>
        <v>0</v>
      </c>
      <c r="F114" s="314">
        <f>F71</f>
        <v>0</v>
      </c>
      <c r="G114" s="311">
        <f t="shared" si="25"/>
        <v>0</v>
      </c>
      <c r="H114" s="312"/>
      <c r="I114" s="313"/>
      <c r="K114" s="314"/>
      <c r="L114" s="314"/>
      <c r="M114" s="314"/>
    </row>
    <row r="115" spans="1:13" ht="20.100000000000001" customHeight="1">
      <c r="A115" s="310" t="s">
        <v>331</v>
      </c>
      <c r="B115" s="9">
        <v>1304</v>
      </c>
      <c r="C115" s="314">
        <v>0</v>
      </c>
      <c r="D115" s="314">
        <f>D63</f>
        <v>0</v>
      </c>
      <c r="E115" s="314">
        <f>E63</f>
        <v>0</v>
      </c>
      <c r="F115" s="314">
        <f>F63</f>
        <v>0</v>
      </c>
      <c r="G115" s="311"/>
      <c r="H115" s="312"/>
      <c r="I115" s="313"/>
      <c r="K115" s="314"/>
      <c r="L115" s="314"/>
      <c r="M115" s="314"/>
    </row>
    <row r="116" spans="1:13" ht="20.100000000000001" customHeight="1">
      <c r="A116" s="310" t="s">
        <v>332</v>
      </c>
      <c r="B116" s="9">
        <v>1305</v>
      </c>
      <c r="C116" s="314">
        <v>0</v>
      </c>
      <c r="D116" s="314">
        <f>D72</f>
        <v>0</v>
      </c>
      <c r="E116" s="314">
        <f>E72</f>
        <v>0</v>
      </c>
      <c r="F116" s="314">
        <f>F72</f>
        <v>0</v>
      </c>
      <c r="G116" s="311">
        <f t="shared" si="25"/>
        <v>0</v>
      </c>
      <c r="H116" s="312"/>
      <c r="I116" s="313"/>
      <c r="K116" s="314"/>
      <c r="L116" s="314"/>
      <c r="M116" s="314"/>
    </row>
    <row r="117" spans="1:13" s="303" customFormat="1" ht="20.100000000000001" customHeight="1">
      <c r="A117" s="299" t="s">
        <v>115</v>
      </c>
      <c r="B117" s="11">
        <v>1310</v>
      </c>
      <c r="C117" s="315">
        <v>517.99999999999818</v>
      </c>
      <c r="D117" s="315">
        <f>D111+D112-D113-D114-D115-D116</f>
        <v>355.00000000000398</v>
      </c>
      <c r="E117" s="315">
        <f>E111+E112-E113-E114-E115-E116</f>
        <v>866.50000000000182</v>
      </c>
      <c r="F117" s="315">
        <f>F111+F112-F113-F114-F115-F116</f>
        <v>355.00000000000398</v>
      </c>
      <c r="G117" s="316">
        <f t="shared" si="25"/>
        <v>-511.49999999999784</v>
      </c>
      <c r="H117" s="317">
        <f t="shared" si="20"/>
        <v>40.969417195614916</v>
      </c>
      <c r="I117" s="318"/>
      <c r="K117" s="315"/>
      <c r="L117" s="315"/>
      <c r="M117" s="315"/>
    </row>
    <row r="118" spans="1:13" s="303" customFormat="1" ht="20.100000000000001" customHeight="1">
      <c r="A118" s="304" t="s">
        <v>155</v>
      </c>
      <c r="B118" s="305"/>
      <c r="C118" s="305"/>
      <c r="D118" s="305"/>
      <c r="E118" s="305"/>
      <c r="F118" s="305"/>
      <c r="G118" s="305"/>
      <c r="H118" s="305"/>
      <c r="I118" s="306"/>
    </row>
    <row r="119" spans="1:13" s="303" customFormat="1" ht="20.100000000000001" customHeight="1">
      <c r="A119" s="310" t="s">
        <v>190</v>
      </c>
      <c r="B119" s="9">
        <v>1400</v>
      </c>
      <c r="C119" s="311">
        <v>4077</v>
      </c>
      <c r="D119" s="311">
        <f>D120+D121</f>
        <v>4707.3</v>
      </c>
      <c r="E119" s="311">
        <f>E120+E121</f>
        <v>4914.5</v>
      </c>
      <c r="F119" s="311">
        <f>F120+F121</f>
        <v>4707.3</v>
      </c>
      <c r="G119" s="311">
        <f t="shared" ref="G119:G126" si="26">F119-E119</f>
        <v>-207.19999999999982</v>
      </c>
      <c r="H119" s="312">
        <f t="shared" si="20"/>
        <v>95.783904771594266</v>
      </c>
      <c r="I119" s="313"/>
      <c r="K119" s="311"/>
      <c r="L119" s="311"/>
      <c r="M119" s="311"/>
    </row>
    <row r="120" spans="1:13" s="303" customFormat="1" ht="20.100000000000001" customHeight="1">
      <c r="A120" s="310" t="s">
        <v>191</v>
      </c>
      <c r="B120" s="37">
        <v>1401</v>
      </c>
      <c r="C120" s="319">
        <v>2622</v>
      </c>
      <c r="D120" s="319">
        <f>F120+K120+L120+M120</f>
        <v>3387.3</v>
      </c>
      <c r="E120" s="319">
        <v>3395</v>
      </c>
      <c r="F120" s="319">
        <v>3387.3</v>
      </c>
      <c r="G120" s="319">
        <f t="shared" si="26"/>
        <v>-7.6999999999998181</v>
      </c>
      <c r="H120" s="312">
        <f t="shared" si="20"/>
        <v>99.773195876288668</v>
      </c>
      <c r="I120" s="320"/>
      <c r="K120" s="319"/>
      <c r="L120" s="319"/>
      <c r="M120" s="319"/>
    </row>
    <row r="121" spans="1:13" s="303" customFormat="1" ht="20.100000000000001" customHeight="1">
      <c r="A121" s="310" t="s">
        <v>28</v>
      </c>
      <c r="B121" s="37">
        <v>1402</v>
      </c>
      <c r="C121" s="319">
        <v>1455</v>
      </c>
      <c r="D121" s="319">
        <f>F121+K121+L121+M121</f>
        <v>1320</v>
      </c>
      <c r="E121" s="319">
        <v>1519.5</v>
      </c>
      <c r="F121" s="319">
        <v>1320</v>
      </c>
      <c r="G121" s="319">
        <f t="shared" si="26"/>
        <v>-199.5</v>
      </c>
      <c r="H121" s="312">
        <f t="shared" si="20"/>
        <v>86.870681145113522</v>
      </c>
      <c r="I121" s="320"/>
      <c r="K121" s="319"/>
      <c r="L121" s="319"/>
      <c r="M121" s="319"/>
    </row>
    <row r="122" spans="1:13" s="303" customFormat="1" ht="20.100000000000001" customHeight="1">
      <c r="A122" s="310" t="s">
        <v>5</v>
      </c>
      <c r="B122" s="14">
        <v>1410</v>
      </c>
      <c r="C122" s="311">
        <v>5139</v>
      </c>
      <c r="D122" s="311">
        <f>F122+K122+L122+M122</f>
        <v>5788.4</v>
      </c>
      <c r="E122" s="311">
        <v>5762.9</v>
      </c>
      <c r="F122" s="311">
        <v>5788.4</v>
      </c>
      <c r="G122" s="311">
        <f t="shared" si="26"/>
        <v>25.5</v>
      </c>
      <c r="H122" s="312">
        <f t="shared" si="20"/>
        <v>100.44248555414808</v>
      </c>
      <c r="I122" s="322"/>
      <c r="K122" s="311"/>
      <c r="L122" s="311"/>
      <c r="M122" s="311"/>
    </row>
    <row r="123" spans="1:13" s="303" customFormat="1" ht="20.100000000000001" customHeight="1">
      <c r="A123" s="310" t="s">
        <v>6</v>
      </c>
      <c r="B123" s="14">
        <v>1420</v>
      </c>
      <c r="C123" s="311">
        <v>1097</v>
      </c>
      <c r="D123" s="311">
        <f t="shared" ref="D123:D125" si="27">F123+K123+L123+M123</f>
        <v>1244.7</v>
      </c>
      <c r="E123" s="311">
        <v>1260.0999999999999</v>
      </c>
      <c r="F123" s="311">
        <v>1244.7</v>
      </c>
      <c r="G123" s="311">
        <f t="shared" si="26"/>
        <v>-15.399999999999864</v>
      </c>
      <c r="H123" s="312">
        <f t="shared" si="20"/>
        <v>98.777874771843514</v>
      </c>
      <c r="I123" s="321"/>
      <c r="K123" s="311"/>
      <c r="L123" s="311"/>
      <c r="M123" s="311"/>
    </row>
    <row r="124" spans="1:13" s="303" customFormat="1" ht="20.100000000000001" customHeight="1">
      <c r="A124" s="310" t="s">
        <v>7</v>
      </c>
      <c r="B124" s="14">
        <v>1430</v>
      </c>
      <c r="C124" s="311">
        <v>9209</v>
      </c>
      <c r="D124" s="311">
        <f t="shared" si="27"/>
        <v>542</v>
      </c>
      <c r="E124" s="311">
        <v>9090</v>
      </c>
      <c r="F124" s="311">
        <v>542</v>
      </c>
      <c r="G124" s="311">
        <f t="shared" si="26"/>
        <v>-8548</v>
      </c>
      <c r="H124" s="312">
        <f t="shared" si="20"/>
        <v>5.9625962596259621</v>
      </c>
      <c r="I124" s="313"/>
      <c r="K124" s="311"/>
      <c r="L124" s="311"/>
      <c r="M124" s="311"/>
    </row>
    <row r="125" spans="1:13" s="303" customFormat="1" ht="20.100000000000001" customHeight="1">
      <c r="A125" s="310" t="s">
        <v>29</v>
      </c>
      <c r="B125" s="14">
        <v>1440</v>
      </c>
      <c r="C125" s="311">
        <v>1206</v>
      </c>
      <c r="D125" s="311">
        <f t="shared" si="27"/>
        <v>1444</v>
      </c>
      <c r="E125" s="311">
        <v>1185.7</v>
      </c>
      <c r="F125" s="311">
        <v>1444</v>
      </c>
      <c r="G125" s="311">
        <f t="shared" si="26"/>
        <v>258.29999999999995</v>
      </c>
      <c r="H125" s="312">
        <f t="shared" si="20"/>
        <v>121.78459981445559</v>
      </c>
      <c r="I125" s="322"/>
      <c r="K125" s="311"/>
      <c r="L125" s="311"/>
      <c r="M125" s="311"/>
    </row>
    <row r="126" spans="1:13" s="303" customFormat="1" ht="17.399999999999999">
      <c r="A126" s="299" t="s">
        <v>50</v>
      </c>
      <c r="B126" s="44">
        <v>1450</v>
      </c>
      <c r="C126" s="323">
        <v>20728</v>
      </c>
      <c r="D126" s="323">
        <f>SUM(D119,D122:D125)</f>
        <v>13726.400000000001</v>
      </c>
      <c r="E126" s="323">
        <f>SUM(E119,E122:E125)</f>
        <v>22213.200000000001</v>
      </c>
      <c r="F126" s="323">
        <f>SUM(F119,F122:F125)</f>
        <v>13726.400000000001</v>
      </c>
      <c r="G126" s="316">
        <f t="shared" si="26"/>
        <v>-8486.7999999999993</v>
      </c>
      <c r="H126" s="317">
        <f t="shared" si="20"/>
        <v>61.793888318657373</v>
      </c>
      <c r="I126" s="318"/>
      <c r="K126" s="323"/>
      <c r="L126" s="323"/>
      <c r="M126" s="323"/>
    </row>
    <row r="127" spans="1:13" s="303" customFormat="1" ht="17.399999999999999">
      <c r="A127" s="140"/>
      <c r="B127" s="59"/>
      <c r="C127" s="153"/>
      <c r="D127" s="153"/>
      <c r="E127" s="153"/>
      <c r="F127" s="153"/>
      <c r="G127" s="153"/>
      <c r="H127" s="59"/>
      <c r="I127" s="59"/>
      <c r="K127" s="153"/>
      <c r="L127" s="153"/>
      <c r="M127" s="153"/>
    </row>
    <row r="128" spans="1:13" s="303" customFormat="1" ht="17.399999999999999">
      <c r="A128" s="140"/>
      <c r="B128" s="59"/>
      <c r="C128" s="153"/>
      <c r="D128" s="153"/>
      <c r="E128" s="153"/>
      <c r="F128" s="153"/>
      <c r="G128" s="153"/>
      <c r="H128" s="59"/>
      <c r="I128" s="59"/>
      <c r="K128" s="153"/>
      <c r="L128" s="153"/>
      <c r="M128" s="153"/>
    </row>
    <row r="129" spans="1:13">
      <c r="A129" s="290"/>
    </row>
    <row r="130" spans="1:13" ht="27.75" customHeight="1">
      <c r="A130" s="336" t="s">
        <v>492</v>
      </c>
      <c r="B130" s="192"/>
      <c r="C130" s="337"/>
      <c r="D130" s="337"/>
      <c r="E130" s="338"/>
      <c r="F130" s="297" t="s">
        <v>493</v>
      </c>
      <c r="G130" s="297"/>
      <c r="H130" s="297"/>
      <c r="I130" s="193"/>
      <c r="K130" s="302"/>
      <c r="L130" s="302"/>
      <c r="M130" s="302"/>
    </row>
    <row r="131" spans="1:13" s="138" customFormat="1" ht="21">
      <c r="A131" s="295" t="s">
        <v>212</v>
      </c>
      <c r="B131" s="193"/>
      <c r="C131" s="295"/>
      <c r="D131" s="295"/>
      <c r="E131" s="196"/>
      <c r="F131" s="296" t="s">
        <v>85</v>
      </c>
      <c r="G131" s="296"/>
      <c r="H131" s="296"/>
      <c r="I131" s="195"/>
    </row>
    <row r="132" spans="1:13">
      <c r="A132" s="290"/>
    </row>
    <row r="133" spans="1:13" hidden="1">
      <c r="A133" s="290"/>
      <c r="C133" s="154">
        <v>20728</v>
      </c>
      <c r="D133" s="154">
        <f>D8+D24+D70</f>
        <v>13729.999999999996</v>
      </c>
      <c r="E133" s="154">
        <f>E8+E24+E70</f>
        <v>22213.199999999997</v>
      </c>
      <c r="F133" s="355">
        <f>F8+F24+F70</f>
        <v>13729.999999999996</v>
      </c>
      <c r="G133" s="154">
        <f>F133-F77</f>
        <v>13726.399999999996</v>
      </c>
    </row>
    <row r="134" spans="1:13" hidden="1">
      <c r="A134" s="290"/>
      <c r="C134" s="154">
        <v>20782</v>
      </c>
      <c r="D134" s="154">
        <f t="shared" ref="D134" si="28">D133+D96+D100</f>
        <v>13742.999999999996</v>
      </c>
      <c r="E134" s="154">
        <f>E133+E96+E100</f>
        <v>22383.199999999997</v>
      </c>
      <c r="F134" s="154">
        <f>F133+F96+F100</f>
        <v>13742.999999999996</v>
      </c>
    </row>
    <row r="135" spans="1:13" hidden="1">
      <c r="A135" s="290"/>
      <c r="C135" s="154">
        <v>54</v>
      </c>
      <c r="D135" s="154">
        <f t="shared" ref="D135:E135" si="29">D134-D133</f>
        <v>13</v>
      </c>
      <c r="E135" s="154">
        <f t="shared" si="29"/>
        <v>170</v>
      </c>
      <c r="F135" s="154">
        <f>F134-F133</f>
        <v>13</v>
      </c>
    </row>
    <row r="136" spans="1:13" hidden="1">
      <c r="A136" s="290"/>
      <c r="C136" s="154" t="s">
        <v>520</v>
      </c>
      <c r="D136" s="154" t="s">
        <v>520</v>
      </c>
      <c r="E136" s="154" t="s">
        <v>520</v>
      </c>
      <c r="F136" s="159" t="s">
        <v>520</v>
      </c>
    </row>
    <row r="137" spans="1:13" hidden="1">
      <c r="A137" s="290"/>
      <c r="E137" s="154" t="s">
        <v>440</v>
      </c>
    </row>
    <row r="138" spans="1:13" hidden="1">
      <c r="A138" s="290"/>
      <c r="C138" s="154">
        <v>20782</v>
      </c>
      <c r="D138" s="154">
        <f t="shared" ref="D138:F138" si="30">D133+D135</f>
        <v>13742.999999999996</v>
      </c>
      <c r="E138" s="154">
        <f t="shared" si="30"/>
        <v>22383.199999999997</v>
      </c>
      <c r="F138" s="154">
        <f t="shared" si="30"/>
        <v>13742.999999999996</v>
      </c>
    </row>
    <row r="139" spans="1:13" hidden="1">
      <c r="A139" s="290"/>
    </row>
    <row r="140" spans="1:13" hidden="1">
      <c r="A140" s="290"/>
    </row>
    <row r="141" spans="1:13" hidden="1">
      <c r="A141" s="290"/>
      <c r="F141" s="154">
        <f>F8+F24+F70-F77</f>
        <v>13726.399999999996</v>
      </c>
    </row>
    <row r="142" spans="1:13">
      <c r="A142" s="290"/>
    </row>
    <row r="143" spans="1:13">
      <c r="A143" s="290"/>
    </row>
    <row r="144" spans="1:13">
      <c r="A144" s="290"/>
    </row>
    <row r="145" spans="1:1">
      <c r="A145" s="290"/>
    </row>
    <row r="146" spans="1:1">
      <c r="A146" s="290"/>
    </row>
    <row r="147" spans="1:1">
      <c r="A147" s="290"/>
    </row>
    <row r="148" spans="1:1">
      <c r="A148" s="290"/>
    </row>
    <row r="149" spans="1:1">
      <c r="A149" s="290"/>
    </row>
    <row r="150" spans="1:1">
      <c r="A150" s="290"/>
    </row>
    <row r="151" spans="1:1">
      <c r="A151" s="290"/>
    </row>
    <row r="152" spans="1:1">
      <c r="A152" s="290"/>
    </row>
    <row r="153" spans="1:1">
      <c r="A153" s="290"/>
    </row>
    <row r="154" spans="1:1">
      <c r="A154" s="290"/>
    </row>
    <row r="155" spans="1:1">
      <c r="A155" s="290"/>
    </row>
    <row r="156" spans="1:1">
      <c r="A156" s="290"/>
    </row>
    <row r="157" spans="1:1">
      <c r="A157" s="290"/>
    </row>
    <row r="158" spans="1:1">
      <c r="A158" s="290"/>
    </row>
    <row r="159" spans="1:1">
      <c r="A159" s="290"/>
    </row>
    <row r="160" spans="1:1">
      <c r="A160" s="290"/>
    </row>
    <row r="161" spans="1:1">
      <c r="A161" s="290"/>
    </row>
    <row r="162" spans="1:1">
      <c r="A162" s="290"/>
    </row>
    <row r="163" spans="1:1">
      <c r="A163" s="290"/>
    </row>
    <row r="164" spans="1:1">
      <c r="A164" s="290"/>
    </row>
    <row r="165" spans="1:1">
      <c r="A165" s="290"/>
    </row>
    <row r="166" spans="1:1">
      <c r="A166" s="290"/>
    </row>
    <row r="167" spans="1:1">
      <c r="A167" s="290"/>
    </row>
    <row r="168" spans="1:1">
      <c r="A168" s="290"/>
    </row>
    <row r="169" spans="1:1">
      <c r="A169" s="290"/>
    </row>
    <row r="170" spans="1:1">
      <c r="A170" s="290"/>
    </row>
    <row r="171" spans="1:1">
      <c r="A171" s="290"/>
    </row>
    <row r="172" spans="1:1">
      <c r="A172" s="290"/>
    </row>
    <row r="173" spans="1:1">
      <c r="A173" s="290"/>
    </row>
    <row r="174" spans="1:1">
      <c r="A174" s="290"/>
    </row>
    <row r="175" spans="1:1">
      <c r="A175" s="290"/>
    </row>
    <row r="176" spans="1:1">
      <c r="A176" s="290"/>
    </row>
    <row r="177" spans="1:1">
      <c r="A177" s="290"/>
    </row>
    <row r="178" spans="1:1">
      <c r="A178" s="290"/>
    </row>
    <row r="179" spans="1:1">
      <c r="A179" s="290"/>
    </row>
    <row r="180" spans="1:1">
      <c r="A180" s="290"/>
    </row>
    <row r="181" spans="1:1">
      <c r="A181" s="290"/>
    </row>
    <row r="182" spans="1:1">
      <c r="A182" s="290"/>
    </row>
    <row r="183" spans="1:1">
      <c r="A183" s="290"/>
    </row>
    <row r="184" spans="1:1">
      <c r="A184" s="290"/>
    </row>
    <row r="185" spans="1:1">
      <c r="A185" s="290"/>
    </row>
    <row r="186" spans="1:1">
      <c r="A186" s="290"/>
    </row>
    <row r="187" spans="1:1">
      <c r="A187" s="290"/>
    </row>
    <row r="188" spans="1:1">
      <c r="A188" s="290"/>
    </row>
    <row r="189" spans="1:1">
      <c r="A189" s="290"/>
    </row>
  </sheetData>
  <mergeCells count="2">
    <mergeCell ref="C3:D3"/>
    <mergeCell ref="E3:H3"/>
  </mergeCells>
  <phoneticPr fontId="0" type="noConversion"/>
  <pageMargins left="0.59055118110236227" right="0.39370078740157483" top="0.39370078740157483" bottom="0.39370078740157483" header="0.19685039370078741" footer="0.11811023622047245"/>
  <pageSetup paperSize="9" scale="50" orientation="landscape" verticalDpi="300" r:id="rId1"/>
  <headerFooter alignWithMargins="0">
    <oddHeader>&amp;C
&amp;"Times New Roman,обычный"&amp;14 5&amp;"Arial Cyr,обычный"&amp;10
&amp;R&amp;"Times New Roman,обычный"&amp;14Продовження додатка  3
Таблиця 1</oddHeader>
  </headerFooter>
  <ignoredErrors>
    <ignoredError sqref="H119:H126 G104 G98:G99 G55:G60 G96 G86:G92 H112 G114:G116 H8:H16 G9:G16 G23:H25 H61 G71:G76 H70 H86 G29 G26:G28 G31:H34 G30 G38:H38 G35:G37 G43:H43 G39:G42 H64 H76 H91 H93 H99 H104 H107:H108 E117:H117 G46:H46 G44 G45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9"/>
  <sheetViews>
    <sheetView zoomScale="50" zoomScaleNormal="5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T13" sqref="T13"/>
    </sheetView>
  </sheetViews>
  <sheetFormatPr defaultColWidth="9.109375" defaultRowHeight="18"/>
  <cols>
    <col min="1" max="1" width="86.88671875" style="39" customWidth="1"/>
    <col min="2" max="2" width="15.33203125" style="42" customWidth="1"/>
    <col min="3" max="7" width="18.6640625" style="176" customWidth="1"/>
    <col min="8" max="8" width="15" style="42" customWidth="1"/>
    <col min="9" max="9" width="10" style="39" customWidth="1"/>
    <col min="10" max="12" width="18.6640625" style="176" hidden="1" customWidth="1"/>
    <col min="13" max="16384" width="9.109375" style="39"/>
  </cols>
  <sheetData>
    <row r="1" spans="1:12">
      <c r="A1" s="393" t="s">
        <v>118</v>
      </c>
      <c r="B1" s="393"/>
      <c r="C1" s="393"/>
      <c r="D1" s="393"/>
      <c r="E1" s="393"/>
      <c r="F1" s="393"/>
      <c r="G1" s="393"/>
      <c r="H1" s="393"/>
      <c r="J1" s="39"/>
      <c r="K1" s="39"/>
      <c r="L1" s="39"/>
    </row>
    <row r="2" spans="1:12">
      <c r="A2" s="393"/>
      <c r="B2" s="393"/>
      <c r="C2" s="393"/>
      <c r="D2" s="393"/>
      <c r="E2" s="393"/>
      <c r="F2" s="393"/>
      <c r="G2" s="393"/>
      <c r="H2" s="393"/>
      <c r="J2" s="39"/>
      <c r="K2" s="39"/>
      <c r="L2" s="39"/>
    </row>
    <row r="3" spans="1:12" ht="38.25" customHeight="1">
      <c r="A3" s="394" t="s">
        <v>192</v>
      </c>
      <c r="B3" s="395" t="s">
        <v>18</v>
      </c>
      <c r="C3" s="380" t="s">
        <v>334</v>
      </c>
      <c r="D3" s="380"/>
      <c r="E3" s="381" t="s">
        <v>564</v>
      </c>
      <c r="F3" s="381"/>
      <c r="G3" s="381"/>
      <c r="H3" s="381"/>
      <c r="J3" s="224"/>
      <c r="K3" s="224"/>
      <c r="L3" s="224"/>
    </row>
    <row r="4" spans="1:12" ht="39" customHeight="1">
      <c r="A4" s="394"/>
      <c r="B4" s="395"/>
      <c r="C4" s="198" t="s">
        <v>179</v>
      </c>
      <c r="D4" s="201" t="s">
        <v>180</v>
      </c>
      <c r="E4" s="137" t="s">
        <v>181</v>
      </c>
      <c r="F4" s="356" t="s">
        <v>168</v>
      </c>
      <c r="G4" s="163" t="s">
        <v>187</v>
      </c>
      <c r="H4" s="61" t="s">
        <v>188</v>
      </c>
      <c r="J4" s="222"/>
      <c r="K4" s="229"/>
      <c r="L4" s="233"/>
    </row>
    <row r="5" spans="1:12" s="185" customFormat="1">
      <c r="A5" s="183">
        <v>1</v>
      </c>
      <c r="B5" s="184">
        <v>2</v>
      </c>
      <c r="C5" s="184">
        <v>6</v>
      </c>
      <c r="D5" s="184">
        <v>6</v>
      </c>
      <c r="E5" s="183">
        <v>5</v>
      </c>
      <c r="F5" s="184">
        <v>6</v>
      </c>
      <c r="G5" s="183">
        <v>7</v>
      </c>
      <c r="H5" s="184">
        <v>8</v>
      </c>
      <c r="J5" s="184"/>
      <c r="K5" s="184"/>
      <c r="L5" s="184"/>
    </row>
    <row r="6" spans="1:12" ht="24.9" customHeight="1">
      <c r="A6" s="339" t="s">
        <v>117</v>
      </c>
      <c r="B6" s="339"/>
      <c r="C6" s="339"/>
      <c r="D6" s="339"/>
      <c r="E6" s="339"/>
      <c r="F6" s="339"/>
      <c r="G6" s="339"/>
      <c r="H6" s="339"/>
      <c r="J6" s="39"/>
      <c r="K6" s="39"/>
      <c r="L6" s="39"/>
    </row>
    <row r="7" spans="1:12" ht="24.9" customHeight="1">
      <c r="A7" s="339" t="s">
        <v>284</v>
      </c>
      <c r="B7" s="292">
        <v>1200</v>
      </c>
      <c r="C7" s="340">
        <v>242.99999999999818</v>
      </c>
      <c r="D7" s="341">
        <f>'Осн. фін. пок.'!D66</f>
        <v>49.000000000003979</v>
      </c>
      <c r="E7" s="292">
        <f>'Осн. фін. пок.'!E66</f>
        <v>409.50000000000182</v>
      </c>
      <c r="F7" s="340">
        <f>'Осн. фін. пок.'!F66</f>
        <v>49.000000000003979</v>
      </c>
      <c r="G7" s="311">
        <f t="shared" ref="G7:G19" si="0">F7-E7</f>
        <v>-360.49999999999784</v>
      </c>
      <c r="H7" s="344">
        <f>(F7/E7)*100</f>
        <v>11.965811965812884</v>
      </c>
      <c r="J7" s="39"/>
      <c r="K7" s="39"/>
      <c r="L7" s="39"/>
    </row>
    <row r="8" spans="1:12" ht="42.75" customHeight="1">
      <c r="A8" s="342" t="s">
        <v>52</v>
      </c>
      <c r="B8" s="293">
        <v>2000</v>
      </c>
      <c r="C8" s="311">
        <v>-6492</v>
      </c>
      <c r="D8" s="343">
        <v>-6492</v>
      </c>
      <c r="E8" s="311">
        <v>-5970.6</v>
      </c>
      <c r="F8" s="311">
        <v>-5437</v>
      </c>
      <c r="G8" s="311">
        <f t="shared" si="0"/>
        <v>533.60000000000036</v>
      </c>
      <c r="H8" s="344">
        <f>(F8/E8)*100</f>
        <v>91.062874752956148</v>
      </c>
      <c r="J8" s="222"/>
      <c r="K8" s="229"/>
      <c r="L8" s="233"/>
    </row>
    <row r="9" spans="1:12">
      <c r="A9" s="342" t="s">
        <v>256</v>
      </c>
      <c r="B9" s="293">
        <v>2010</v>
      </c>
      <c r="C9" s="314">
        <v>0</v>
      </c>
      <c r="D9" s="314">
        <f>SUM(D10:D11)</f>
        <v>0</v>
      </c>
      <c r="E9" s="314">
        <f>SUM(E10:E11)</f>
        <v>0</v>
      </c>
      <c r="F9" s="314">
        <f>SUM(F10:F11)</f>
        <v>0</v>
      </c>
      <c r="G9" s="311"/>
      <c r="H9" s="344"/>
      <c r="J9" s="127"/>
      <c r="K9" s="127"/>
      <c r="L9" s="127"/>
    </row>
    <row r="10" spans="1:12" ht="42.75" customHeight="1">
      <c r="A10" s="310" t="s">
        <v>142</v>
      </c>
      <c r="B10" s="293">
        <v>2011</v>
      </c>
      <c r="C10" s="311" t="s">
        <v>227</v>
      </c>
      <c r="D10" s="311" t="s">
        <v>227</v>
      </c>
      <c r="E10" s="311" t="s">
        <v>227</v>
      </c>
      <c r="F10" s="311" t="s">
        <v>227</v>
      </c>
      <c r="G10" s="311"/>
      <c r="H10" s="344"/>
      <c r="J10" s="222"/>
      <c r="K10" s="229"/>
      <c r="L10" s="233"/>
    </row>
    <row r="11" spans="1:12" ht="42.75" customHeight="1">
      <c r="A11" s="310" t="s">
        <v>375</v>
      </c>
      <c r="B11" s="293">
        <v>2012</v>
      </c>
      <c r="C11" s="311" t="s">
        <v>227</v>
      </c>
      <c r="D11" s="311" t="s">
        <v>227</v>
      </c>
      <c r="E11" s="311" t="s">
        <v>227</v>
      </c>
      <c r="F11" s="311" t="s">
        <v>227</v>
      </c>
      <c r="G11" s="311"/>
      <c r="H11" s="344"/>
      <c r="J11" s="222"/>
      <c r="K11" s="229"/>
      <c r="L11" s="233"/>
    </row>
    <row r="12" spans="1:12" ht="20.100000000000001" customHeight="1">
      <c r="A12" s="310" t="s">
        <v>126</v>
      </c>
      <c r="B12" s="293" t="s">
        <v>149</v>
      </c>
      <c r="C12" s="311" t="s">
        <v>227</v>
      </c>
      <c r="D12" s="311" t="s">
        <v>227</v>
      </c>
      <c r="E12" s="311" t="s">
        <v>227</v>
      </c>
      <c r="F12" s="311" t="s">
        <v>227</v>
      </c>
      <c r="G12" s="311"/>
      <c r="H12" s="344"/>
      <c r="J12" s="222"/>
      <c r="K12" s="229"/>
      <c r="L12" s="233"/>
    </row>
    <row r="13" spans="1:12" ht="20.100000000000001" customHeight="1">
      <c r="A13" s="310" t="s">
        <v>135</v>
      </c>
      <c r="B13" s="293">
        <v>2020</v>
      </c>
      <c r="C13" s="311"/>
      <c r="D13" s="311"/>
      <c r="E13" s="311"/>
      <c r="F13" s="311"/>
      <c r="G13" s="311"/>
      <c r="H13" s="344"/>
      <c r="J13" s="222"/>
      <c r="K13" s="229"/>
      <c r="L13" s="233"/>
    </row>
    <row r="14" spans="1:12" s="41" customFormat="1" ht="20.100000000000001" customHeight="1">
      <c r="A14" s="342" t="s">
        <v>62</v>
      </c>
      <c r="B14" s="293">
        <v>2030</v>
      </c>
      <c r="C14" s="311" t="s">
        <v>227</v>
      </c>
      <c r="D14" s="311" t="s">
        <v>227</v>
      </c>
      <c r="E14" s="311" t="s">
        <v>227</v>
      </c>
      <c r="F14" s="311" t="s">
        <v>227</v>
      </c>
      <c r="G14" s="311"/>
      <c r="H14" s="344"/>
      <c r="J14" s="222"/>
      <c r="K14" s="229"/>
      <c r="L14" s="233"/>
    </row>
    <row r="15" spans="1:12" ht="20.100000000000001" customHeight="1">
      <c r="A15" s="342" t="s">
        <v>110</v>
      </c>
      <c r="B15" s="293">
        <v>2031</v>
      </c>
      <c r="C15" s="311" t="s">
        <v>227</v>
      </c>
      <c r="D15" s="311" t="s">
        <v>227</v>
      </c>
      <c r="E15" s="311" t="s">
        <v>227</v>
      </c>
      <c r="F15" s="311" t="s">
        <v>227</v>
      </c>
      <c r="G15" s="311"/>
      <c r="H15" s="344"/>
      <c r="J15" s="222"/>
      <c r="K15" s="229"/>
      <c r="L15" s="233"/>
    </row>
    <row r="16" spans="1:12" ht="20.100000000000001" customHeight="1">
      <c r="A16" s="342" t="s">
        <v>27</v>
      </c>
      <c r="B16" s="293">
        <v>2040</v>
      </c>
      <c r="C16" s="311" t="s">
        <v>227</v>
      </c>
      <c r="D16" s="311" t="s">
        <v>227</v>
      </c>
      <c r="E16" s="311" t="s">
        <v>227</v>
      </c>
      <c r="F16" s="311" t="s">
        <v>227</v>
      </c>
      <c r="G16" s="311"/>
      <c r="H16" s="344"/>
      <c r="J16" s="222"/>
      <c r="K16" s="229"/>
      <c r="L16" s="233"/>
    </row>
    <row r="17" spans="1:12" ht="20.100000000000001" customHeight="1">
      <c r="A17" s="342" t="s">
        <v>98</v>
      </c>
      <c r="B17" s="293">
        <v>2050</v>
      </c>
      <c r="C17" s="311" t="s">
        <v>227</v>
      </c>
      <c r="D17" s="311" t="s">
        <v>227</v>
      </c>
      <c r="E17" s="311" t="s">
        <v>227</v>
      </c>
      <c r="F17" s="311" t="s">
        <v>227</v>
      </c>
      <c r="G17" s="311"/>
      <c r="H17" s="344"/>
      <c r="J17" s="222"/>
      <c r="K17" s="229"/>
      <c r="L17" s="233"/>
    </row>
    <row r="18" spans="1:12" ht="20.100000000000001" customHeight="1">
      <c r="A18" s="342" t="s">
        <v>99</v>
      </c>
      <c r="B18" s="293">
        <v>2060</v>
      </c>
      <c r="C18" s="311" t="s">
        <v>227</v>
      </c>
      <c r="D18" s="311" t="s">
        <v>227</v>
      </c>
      <c r="E18" s="311" t="s">
        <v>227</v>
      </c>
      <c r="F18" s="311" t="s">
        <v>227</v>
      </c>
      <c r="G18" s="311"/>
      <c r="H18" s="344"/>
      <c r="J18" s="222"/>
      <c r="K18" s="229"/>
      <c r="L18" s="233"/>
    </row>
    <row r="19" spans="1:12" ht="27.45" customHeight="1">
      <c r="A19" s="342" t="s">
        <v>53</v>
      </c>
      <c r="B19" s="293">
        <v>2070</v>
      </c>
      <c r="C19" s="345">
        <v>-6249.0000000000018</v>
      </c>
      <c r="D19" s="345">
        <f>SUM(D8,D9,D13,D14,D16,D17,D18)+'I. Фін результат'!D104</f>
        <v>-6442.9999999999964</v>
      </c>
      <c r="E19" s="345">
        <f>SUM(E8,E9,E13,E14,E16,E17,E18)+'I. Фін результат'!E104</f>
        <v>-5561.0999999999985</v>
      </c>
      <c r="F19" s="345">
        <v>-5407</v>
      </c>
      <c r="G19" s="311">
        <f t="shared" si="0"/>
        <v>154.09999999999854</v>
      </c>
      <c r="H19" s="344">
        <f t="shared" ref="H19:H44" si="1">(F19/E19)*100</f>
        <v>97.228965492438562</v>
      </c>
      <c r="J19" s="168"/>
      <c r="K19" s="168"/>
      <c r="L19" s="168"/>
    </row>
    <row r="20" spans="1:12" ht="24.9" customHeight="1">
      <c r="A20" s="339" t="s">
        <v>360</v>
      </c>
      <c r="B20" s="339"/>
      <c r="C20" s="339"/>
      <c r="D20" s="339"/>
      <c r="E20" s="339"/>
      <c r="F20" s="339"/>
      <c r="G20" s="339"/>
      <c r="H20" s="339"/>
      <c r="J20" s="39"/>
      <c r="K20" s="39"/>
      <c r="L20" s="39"/>
    </row>
    <row r="21" spans="1:12">
      <c r="A21" s="339" t="s">
        <v>352</v>
      </c>
      <c r="B21" s="298">
        <v>2110</v>
      </c>
      <c r="C21" s="329">
        <v>1352.5</v>
      </c>
      <c r="D21" s="329">
        <f>SUM(D22:D30)</f>
        <v>2020.5</v>
      </c>
      <c r="E21" s="329">
        <f>SUM(E22:E30)</f>
        <v>1772.4</v>
      </c>
      <c r="F21" s="329">
        <f>SUM(F22:F30)</f>
        <v>2020.5</v>
      </c>
      <c r="G21" s="316">
        <f t="shared" ref="G21:G23" si="2">F21-E21</f>
        <v>248.09999999999991</v>
      </c>
      <c r="H21" s="317">
        <f t="shared" si="1"/>
        <v>113.99796885578874</v>
      </c>
      <c r="J21" s="150"/>
      <c r="K21" s="150"/>
      <c r="L21" s="150"/>
    </row>
    <row r="22" spans="1:12">
      <c r="A22" s="310" t="s">
        <v>263</v>
      </c>
      <c r="B22" s="293">
        <v>2111</v>
      </c>
      <c r="C22" s="311">
        <v>0</v>
      </c>
      <c r="D22" s="311">
        <f>F22+J22+K22+L22</f>
        <v>13</v>
      </c>
      <c r="E22" s="311">
        <v>170</v>
      </c>
      <c r="F22" s="311">
        <f>'I. Фін результат'!F100</f>
        <v>13</v>
      </c>
      <c r="G22" s="311">
        <f t="shared" si="2"/>
        <v>-157</v>
      </c>
      <c r="H22" s="312">
        <f t="shared" si="1"/>
        <v>7.6470588235294121</v>
      </c>
      <c r="J22" s="222"/>
      <c r="K22" s="229"/>
      <c r="L22" s="233"/>
    </row>
    <row r="23" spans="1:12">
      <c r="A23" s="310" t="s">
        <v>353</v>
      </c>
      <c r="B23" s="293">
        <v>2112</v>
      </c>
      <c r="C23" s="311">
        <v>1279.8</v>
      </c>
      <c r="D23" s="311">
        <f>F23+J23+K23+L23</f>
        <v>1905</v>
      </c>
      <c r="E23" s="311">
        <v>1516</v>
      </c>
      <c r="F23" s="311">
        <v>1905</v>
      </c>
      <c r="G23" s="311">
        <f t="shared" si="2"/>
        <v>389</v>
      </c>
      <c r="H23" s="312">
        <f t="shared" si="1"/>
        <v>125.65963060686016</v>
      </c>
      <c r="J23" s="222"/>
      <c r="K23" s="229"/>
      <c r="L23" s="233"/>
    </row>
    <row r="24" spans="1:12" s="41" customFormat="1" ht="18.75" customHeight="1">
      <c r="A24" s="342" t="s">
        <v>354</v>
      </c>
      <c r="B24" s="300">
        <v>2113</v>
      </c>
      <c r="C24" s="311"/>
      <c r="D24" s="311"/>
      <c r="E24" s="311" t="s">
        <v>227</v>
      </c>
      <c r="F24" s="311"/>
      <c r="G24" s="311"/>
      <c r="H24" s="312"/>
      <c r="J24" s="222"/>
      <c r="K24" s="229"/>
      <c r="L24" s="233"/>
    </row>
    <row r="25" spans="1:12">
      <c r="A25" s="342" t="s">
        <v>72</v>
      </c>
      <c r="B25" s="300">
        <v>2114</v>
      </c>
      <c r="C25" s="311"/>
      <c r="D25" s="311"/>
      <c r="E25" s="311"/>
      <c r="F25" s="311"/>
      <c r="G25" s="311"/>
      <c r="H25" s="312"/>
      <c r="J25" s="222"/>
      <c r="K25" s="229"/>
      <c r="L25" s="233"/>
    </row>
    <row r="26" spans="1:12">
      <c r="A26" s="342" t="s">
        <v>355</v>
      </c>
      <c r="B26" s="300">
        <v>2115</v>
      </c>
      <c r="C26" s="311"/>
      <c r="D26" s="311"/>
      <c r="E26" s="311"/>
      <c r="F26" s="311"/>
      <c r="G26" s="311"/>
      <c r="H26" s="312"/>
      <c r="J26" s="222"/>
      <c r="K26" s="229"/>
      <c r="L26" s="233"/>
    </row>
    <row r="27" spans="1:12" s="43" customFormat="1">
      <c r="A27" s="342" t="s">
        <v>88</v>
      </c>
      <c r="B27" s="300">
        <v>2116</v>
      </c>
      <c r="C27" s="311"/>
      <c r="D27" s="311"/>
      <c r="E27" s="311"/>
      <c r="F27" s="311"/>
      <c r="G27" s="311"/>
      <c r="H27" s="312"/>
      <c r="I27" s="39"/>
      <c r="J27" s="222"/>
      <c r="K27" s="229"/>
      <c r="L27" s="233"/>
    </row>
    <row r="28" spans="1:12" ht="20.100000000000001" customHeight="1">
      <c r="A28" s="342" t="s">
        <v>376</v>
      </c>
      <c r="B28" s="300">
        <v>2117</v>
      </c>
      <c r="C28" s="311"/>
      <c r="D28" s="311"/>
      <c r="E28" s="311"/>
      <c r="F28" s="311"/>
      <c r="G28" s="311"/>
      <c r="H28" s="312"/>
      <c r="J28" s="222"/>
      <c r="K28" s="229"/>
      <c r="L28" s="233"/>
    </row>
    <row r="29" spans="1:12" ht="20.100000000000001" customHeight="1">
      <c r="A29" s="342" t="s">
        <v>71</v>
      </c>
      <c r="B29" s="300">
        <v>2118</v>
      </c>
      <c r="C29" s="311"/>
      <c r="D29" s="311"/>
      <c r="E29" s="311"/>
      <c r="F29" s="311"/>
      <c r="G29" s="311"/>
      <c r="H29" s="312"/>
      <c r="J29" s="222"/>
      <c r="K29" s="229"/>
      <c r="L29" s="233"/>
    </row>
    <row r="30" spans="1:12" ht="20.100000000000001" customHeight="1">
      <c r="A30" s="342" t="s">
        <v>472</v>
      </c>
      <c r="B30" s="300">
        <v>2119</v>
      </c>
      <c r="C30" s="311">
        <v>72.7</v>
      </c>
      <c r="D30" s="311">
        <f>F30+J30+K30+L30</f>
        <v>102.5</v>
      </c>
      <c r="E30" s="311">
        <v>86.4</v>
      </c>
      <c r="F30" s="311">
        <v>102.5</v>
      </c>
      <c r="G30" s="311">
        <f t="shared" ref="G30:G44" si="3">F30-E30</f>
        <v>16.099999999999994</v>
      </c>
      <c r="H30" s="312">
        <f t="shared" si="1"/>
        <v>118.63425925925925</v>
      </c>
      <c r="J30" s="222"/>
      <c r="K30" s="229"/>
      <c r="L30" s="233"/>
    </row>
    <row r="31" spans="1:12">
      <c r="A31" s="339" t="s">
        <v>362</v>
      </c>
      <c r="B31" s="292">
        <v>2120</v>
      </c>
      <c r="C31" s="329">
        <v>1396.4</v>
      </c>
      <c r="D31" s="329">
        <f>SUM(D32:D35)</f>
        <v>1723.9</v>
      </c>
      <c r="E31" s="329">
        <f>SUM(E32:E35)</f>
        <v>1560.4</v>
      </c>
      <c r="F31" s="329">
        <f>SUM(F32:F35)</f>
        <v>1723.9</v>
      </c>
      <c r="G31" s="316">
        <f t="shared" si="3"/>
        <v>163.5</v>
      </c>
      <c r="H31" s="317">
        <f t="shared" si="1"/>
        <v>110.47808254293771</v>
      </c>
      <c r="J31" s="150"/>
      <c r="K31" s="150"/>
      <c r="L31" s="150"/>
    </row>
    <row r="32" spans="1:12" ht="20.100000000000001" customHeight="1">
      <c r="A32" s="342" t="s">
        <v>71</v>
      </c>
      <c r="B32" s="300">
        <v>2121</v>
      </c>
      <c r="C32" s="311">
        <v>872</v>
      </c>
      <c r="D32" s="311">
        <f t="shared" ref="D32:D35" si="4">F32+J32+K32+L32</f>
        <v>1218</v>
      </c>
      <c r="E32" s="311">
        <v>1037.3</v>
      </c>
      <c r="F32" s="311">
        <v>1218</v>
      </c>
      <c r="G32" s="311">
        <f>F32-E32</f>
        <v>180.70000000000005</v>
      </c>
      <c r="H32" s="312">
        <f t="shared" si="1"/>
        <v>117.42022558565507</v>
      </c>
      <c r="J32" s="222"/>
      <c r="K32" s="229"/>
      <c r="L32" s="233"/>
    </row>
    <row r="33" spans="1:12" ht="20.100000000000001" customHeight="1">
      <c r="A33" s="342" t="s">
        <v>363</v>
      </c>
      <c r="B33" s="300">
        <v>2122</v>
      </c>
      <c r="C33" s="311">
        <v>524.4</v>
      </c>
      <c r="D33" s="311">
        <f t="shared" si="4"/>
        <v>505.9</v>
      </c>
      <c r="E33" s="311">
        <v>523.1</v>
      </c>
      <c r="F33" s="311">
        <v>505.9</v>
      </c>
      <c r="G33" s="311">
        <f>F33-E33</f>
        <v>-17.200000000000045</v>
      </c>
      <c r="H33" s="312">
        <f t="shared" si="1"/>
        <v>96.711909768686667</v>
      </c>
      <c r="J33" s="222"/>
      <c r="K33" s="229"/>
      <c r="L33" s="233"/>
    </row>
    <row r="34" spans="1:12" ht="20.100000000000001" customHeight="1">
      <c r="A34" s="342" t="s">
        <v>364</v>
      </c>
      <c r="B34" s="300">
        <v>2123</v>
      </c>
      <c r="C34" s="311">
        <v>0</v>
      </c>
      <c r="D34" s="311">
        <f t="shared" si="4"/>
        <v>0</v>
      </c>
      <c r="E34" s="311">
        <v>0</v>
      </c>
      <c r="F34" s="311">
        <v>0</v>
      </c>
      <c r="G34" s="311">
        <f>F34-E34</f>
        <v>0</v>
      </c>
      <c r="H34" s="312"/>
      <c r="J34" s="222"/>
      <c r="K34" s="229"/>
      <c r="L34" s="233"/>
    </row>
    <row r="35" spans="1:12" s="41" customFormat="1">
      <c r="A35" s="342" t="s">
        <v>361</v>
      </c>
      <c r="B35" s="300">
        <v>2124</v>
      </c>
      <c r="C35" s="311">
        <v>0</v>
      </c>
      <c r="D35" s="311">
        <f t="shared" si="4"/>
        <v>0</v>
      </c>
      <c r="E35" s="311">
        <v>0</v>
      </c>
      <c r="F35" s="311">
        <v>0</v>
      </c>
      <c r="G35" s="311">
        <f t="shared" si="3"/>
        <v>0</v>
      </c>
      <c r="H35" s="312"/>
      <c r="J35" s="222"/>
      <c r="K35" s="229"/>
      <c r="L35" s="233"/>
    </row>
    <row r="36" spans="1:12" ht="21.75" customHeight="1">
      <c r="A36" s="339" t="s">
        <v>365</v>
      </c>
      <c r="B36" s="292">
        <v>2130</v>
      </c>
      <c r="C36" s="329">
        <v>1025.5999999999999</v>
      </c>
      <c r="D36" s="329">
        <f>SUM(D37:D40)</f>
        <v>1293.7</v>
      </c>
      <c r="E36" s="329">
        <f>SUM(E37:E40)</f>
        <v>1267.8</v>
      </c>
      <c r="F36" s="329">
        <f>SUM(F37:F40)</f>
        <v>1293.7</v>
      </c>
      <c r="G36" s="316">
        <f t="shared" si="3"/>
        <v>25.900000000000091</v>
      </c>
      <c r="H36" s="317">
        <f t="shared" si="1"/>
        <v>102.04290897617922</v>
      </c>
      <c r="J36" s="150"/>
      <c r="K36" s="150"/>
      <c r="L36" s="150"/>
    </row>
    <row r="37" spans="1:12" ht="60.75" customHeight="1">
      <c r="A37" s="342" t="s">
        <v>377</v>
      </c>
      <c r="B37" s="300">
        <v>2131</v>
      </c>
      <c r="C37" s="311">
        <v>0</v>
      </c>
      <c r="D37" s="311">
        <f t="shared" ref="D37:D39" si="5">F37+J37+K37+L37</f>
        <v>0</v>
      </c>
      <c r="E37" s="311">
        <v>0</v>
      </c>
      <c r="F37" s="311">
        <v>0</v>
      </c>
      <c r="G37" s="311">
        <f t="shared" si="3"/>
        <v>0</v>
      </c>
      <c r="H37" s="312"/>
      <c r="J37" s="222"/>
      <c r="K37" s="229"/>
      <c r="L37" s="233"/>
    </row>
    <row r="38" spans="1:12" s="41" customFormat="1" ht="20.100000000000001" customHeight="1">
      <c r="A38" s="342" t="s">
        <v>366</v>
      </c>
      <c r="B38" s="300">
        <v>2132</v>
      </c>
      <c r="C38" s="311">
        <v>0</v>
      </c>
      <c r="D38" s="311">
        <f t="shared" si="5"/>
        <v>0</v>
      </c>
      <c r="E38" s="311">
        <v>0</v>
      </c>
      <c r="F38" s="311">
        <v>0</v>
      </c>
      <c r="G38" s="311">
        <f t="shared" si="3"/>
        <v>0</v>
      </c>
      <c r="H38" s="312"/>
      <c r="J38" s="222"/>
      <c r="K38" s="229"/>
      <c r="L38" s="233"/>
    </row>
    <row r="39" spans="1:12" ht="20.100000000000001" customHeight="1">
      <c r="A39" s="342" t="s">
        <v>367</v>
      </c>
      <c r="B39" s="300">
        <v>2133</v>
      </c>
      <c r="C39" s="311">
        <v>1025.5999999999999</v>
      </c>
      <c r="D39" s="311">
        <f t="shared" si="5"/>
        <v>1293.7</v>
      </c>
      <c r="E39" s="311">
        <v>1267.8</v>
      </c>
      <c r="F39" s="311">
        <v>1293.7</v>
      </c>
      <c r="G39" s="311">
        <f t="shared" si="3"/>
        <v>25.900000000000091</v>
      </c>
      <c r="H39" s="312">
        <f t="shared" si="1"/>
        <v>102.04290897617922</v>
      </c>
      <c r="J39" s="222"/>
      <c r="K39" s="229"/>
      <c r="L39" s="233"/>
    </row>
    <row r="40" spans="1:12" ht="20.100000000000001" customHeight="1">
      <c r="A40" s="342" t="s">
        <v>368</v>
      </c>
      <c r="B40" s="300">
        <v>2134</v>
      </c>
      <c r="C40" s="311"/>
      <c r="D40" s="311"/>
      <c r="E40" s="311"/>
      <c r="F40" s="311"/>
      <c r="G40" s="311"/>
      <c r="H40" s="312"/>
      <c r="J40" s="222"/>
      <c r="K40" s="229"/>
      <c r="L40" s="233"/>
    </row>
    <row r="41" spans="1:12" ht="20.100000000000001" customHeight="1">
      <c r="A41" s="339" t="s">
        <v>369</v>
      </c>
      <c r="B41" s="292">
        <v>2140</v>
      </c>
      <c r="C41" s="329">
        <v>1.7</v>
      </c>
      <c r="D41" s="329">
        <f>SUM(D42:D43)</f>
        <v>452.7</v>
      </c>
      <c r="E41" s="329">
        <f>SUM(E42:E43)</f>
        <v>15</v>
      </c>
      <c r="F41" s="329">
        <f>SUM(F42:F43)</f>
        <v>452.7</v>
      </c>
      <c r="G41" s="316"/>
      <c r="H41" s="317"/>
      <c r="J41" s="150"/>
      <c r="K41" s="150"/>
      <c r="L41" s="150"/>
    </row>
    <row r="42" spans="1:12">
      <c r="A42" s="342" t="s">
        <v>111</v>
      </c>
      <c r="B42" s="300">
        <v>2141</v>
      </c>
      <c r="C42" s="311"/>
      <c r="D42" s="311"/>
      <c r="E42" s="311"/>
      <c r="F42" s="311"/>
      <c r="G42" s="311"/>
      <c r="H42" s="312"/>
      <c r="J42" s="222"/>
      <c r="K42" s="229"/>
      <c r="L42" s="233"/>
    </row>
    <row r="43" spans="1:12" s="41" customFormat="1" ht="20.100000000000001" customHeight="1">
      <c r="A43" s="342" t="s">
        <v>370</v>
      </c>
      <c r="B43" s="300">
        <v>2142</v>
      </c>
      <c r="C43" s="311">
        <v>1.7</v>
      </c>
      <c r="D43" s="311">
        <f>F43+J43+K43+L43</f>
        <v>452.7</v>
      </c>
      <c r="E43" s="311">
        <v>15</v>
      </c>
      <c r="F43" s="311">
        <v>452.7</v>
      </c>
      <c r="G43" s="311">
        <f t="shared" si="3"/>
        <v>437.7</v>
      </c>
      <c r="H43" s="312"/>
      <c r="J43" s="222"/>
      <c r="K43" s="229"/>
      <c r="L43" s="233"/>
    </row>
    <row r="44" spans="1:12" s="41" customFormat="1" ht="21.75" customHeight="1">
      <c r="A44" s="339" t="s">
        <v>359</v>
      </c>
      <c r="B44" s="292">
        <v>2200</v>
      </c>
      <c r="C44" s="329">
        <v>3776.2</v>
      </c>
      <c r="D44" s="329">
        <f>SUM(D21,D31,D36,D41)</f>
        <v>5490.8</v>
      </c>
      <c r="E44" s="329">
        <f>SUM(E21,E31,E36,E41)</f>
        <v>4615.6000000000004</v>
      </c>
      <c r="F44" s="329">
        <f>SUM(F21,F31,F36,F41)</f>
        <v>5490.8</v>
      </c>
      <c r="G44" s="316">
        <f t="shared" si="3"/>
        <v>875.19999999999982</v>
      </c>
      <c r="H44" s="317">
        <f t="shared" si="1"/>
        <v>118.96178178351677</v>
      </c>
      <c r="I44" s="39"/>
      <c r="J44" s="150"/>
      <c r="K44" s="150"/>
      <c r="L44" s="150"/>
    </row>
    <row r="45" spans="1:12" s="41" customFormat="1">
      <c r="A45" s="60"/>
      <c r="B45" s="42"/>
      <c r="C45" s="176"/>
      <c r="D45" s="176"/>
      <c r="E45" s="176"/>
      <c r="F45" s="176"/>
      <c r="G45" s="176"/>
      <c r="H45" s="42"/>
      <c r="J45" s="176"/>
      <c r="K45" s="176"/>
      <c r="L45" s="176"/>
    </row>
    <row r="46" spans="1:12" s="41" customFormat="1">
      <c r="A46" s="60"/>
      <c r="B46" s="42"/>
      <c r="C46" s="176"/>
      <c r="D46" s="176"/>
      <c r="E46" s="176"/>
      <c r="F46" s="176"/>
      <c r="G46" s="176"/>
      <c r="H46" s="42"/>
      <c r="J46" s="176"/>
      <c r="K46" s="176"/>
      <c r="L46" s="176"/>
    </row>
    <row r="47" spans="1:12" s="41" customFormat="1">
      <c r="A47" s="60"/>
      <c r="B47" s="42"/>
      <c r="C47" s="176"/>
      <c r="D47" s="176"/>
      <c r="E47" s="176"/>
      <c r="F47" s="176"/>
      <c r="G47" s="176"/>
      <c r="H47" s="42"/>
      <c r="J47" s="176"/>
      <c r="K47" s="176"/>
      <c r="L47" s="176"/>
    </row>
    <row r="48" spans="1:12" s="134" customFormat="1" ht="27.75" customHeight="1">
      <c r="A48" s="50" t="s">
        <v>492</v>
      </c>
      <c r="B48" s="1"/>
      <c r="C48" s="362" t="s">
        <v>89</v>
      </c>
      <c r="D48" s="362"/>
      <c r="E48" s="69"/>
      <c r="F48" s="363" t="s">
        <v>493</v>
      </c>
      <c r="G48" s="363"/>
      <c r="H48" s="363"/>
      <c r="I48" s="190"/>
    </row>
    <row r="49" spans="1:12" s="138" customFormat="1">
      <c r="A49" s="132" t="s">
        <v>212</v>
      </c>
      <c r="B49" s="134"/>
      <c r="C49" s="364" t="s">
        <v>211</v>
      </c>
      <c r="D49" s="364"/>
      <c r="E49" s="155"/>
      <c r="F49" s="365" t="s">
        <v>85</v>
      </c>
      <c r="G49" s="365"/>
      <c r="H49" s="365"/>
      <c r="I49" s="191"/>
    </row>
    <row r="50" spans="1:12" s="42" customFormat="1">
      <c r="A50" s="52"/>
      <c r="C50" s="176"/>
      <c r="D50" s="176"/>
      <c r="E50" s="176"/>
      <c r="F50" s="176"/>
      <c r="G50" s="176"/>
      <c r="I50" s="39"/>
      <c r="J50" s="176"/>
      <c r="K50" s="176"/>
      <c r="L50" s="176"/>
    </row>
    <row r="51" spans="1:12" s="42" customFormat="1">
      <c r="A51" s="52"/>
      <c r="C51" s="176"/>
      <c r="D51" s="176"/>
      <c r="E51" s="176"/>
      <c r="F51" s="176"/>
      <c r="G51" s="176"/>
      <c r="I51" s="39"/>
      <c r="J51" s="176"/>
      <c r="K51" s="176"/>
      <c r="L51" s="176"/>
    </row>
    <row r="52" spans="1:12" s="42" customFormat="1">
      <c r="A52" s="52"/>
      <c r="C52" s="176"/>
      <c r="D52" s="176"/>
      <c r="E52" s="176"/>
      <c r="F52" s="176"/>
      <c r="G52" s="176"/>
      <c r="I52" s="39"/>
      <c r="J52" s="176"/>
      <c r="K52" s="176"/>
      <c r="L52" s="176"/>
    </row>
    <row r="53" spans="1:12" s="42" customFormat="1">
      <c r="A53" s="52"/>
      <c r="C53" s="176"/>
      <c r="D53" s="176"/>
      <c r="E53" s="176"/>
      <c r="F53" s="176"/>
      <c r="G53" s="176"/>
      <c r="I53" s="39"/>
      <c r="J53" s="176"/>
      <c r="K53" s="176"/>
      <c r="L53" s="176"/>
    </row>
    <row r="54" spans="1:12" s="42" customFormat="1">
      <c r="A54" s="52"/>
      <c r="C54" s="176"/>
      <c r="D54" s="176"/>
      <c r="E54" s="176"/>
      <c r="F54" s="176"/>
      <c r="G54" s="176"/>
      <c r="I54" s="39"/>
      <c r="J54" s="176"/>
      <c r="K54" s="176"/>
      <c r="L54" s="176"/>
    </row>
    <row r="55" spans="1:12" s="42" customFormat="1">
      <c r="A55" s="52"/>
      <c r="C55" s="176"/>
      <c r="D55" s="176"/>
      <c r="E55" s="176"/>
      <c r="F55" s="176"/>
      <c r="G55" s="176"/>
      <c r="I55" s="39"/>
      <c r="J55" s="176"/>
      <c r="K55" s="176"/>
      <c r="L55" s="176"/>
    </row>
    <row r="56" spans="1:12" s="42" customFormat="1">
      <c r="A56" s="52"/>
      <c r="C56" s="176"/>
      <c r="D56" s="176"/>
      <c r="E56" s="176"/>
      <c r="F56" s="176"/>
      <c r="G56" s="176"/>
      <c r="I56" s="39"/>
      <c r="J56" s="176"/>
      <c r="K56" s="176"/>
      <c r="L56" s="176"/>
    </row>
    <row r="57" spans="1:12" s="42" customFormat="1">
      <c r="A57" s="52"/>
      <c r="C57" s="176"/>
      <c r="D57" s="176"/>
      <c r="E57" s="176"/>
      <c r="F57" s="176"/>
      <c r="G57" s="176"/>
      <c r="I57" s="39"/>
      <c r="J57" s="176"/>
      <c r="K57" s="176"/>
      <c r="L57" s="176"/>
    </row>
    <row r="58" spans="1:12" s="42" customFormat="1">
      <c r="A58" s="52"/>
      <c r="C58" s="176"/>
      <c r="D58" s="176"/>
      <c r="E58" s="176"/>
      <c r="F58" s="176"/>
      <c r="G58" s="176"/>
      <c r="I58" s="39"/>
      <c r="J58" s="176"/>
      <c r="K58" s="176"/>
      <c r="L58" s="176"/>
    </row>
    <row r="59" spans="1:12" s="42" customFormat="1">
      <c r="A59" s="52"/>
      <c r="C59" s="176"/>
      <c r="D59" s="176"/>
      <c r="E59" s="176"/>
      <c r="F59" s="176"/>
      <c r="G59" s="176"/>
      <c r="I59" s="39"/>
      <c r="J59" s="176"/>
      <c r="K59" s="176"/>
      <c r="L59" s="176"/>
    </row>
    <row r="60" spans="1:12" s="42" customFormat="1">
      <c r="A60" s="52"/>
      <c r="C60" s="176"/>
      <c r="D60" s="176"/>
      <c r="E60" s="176"/>
      <c r="F60" s="176"/>
      <c r="G60" s="176"/>
      <c r="I60" s="39"/>
      <c r="J60" s="176"/>
      <c r="K60" s="176"/>
      <c r="L60" s="176"/>
    </row>
    <row r="61" spans="1:12" s="42" customFormat="1">
      <c r="A61" s="52"/>
      <c r="C61" s="176"/>
      <c r="D61" s="176"/>
      <c r="E61" s="176"/>
      <c r="F61" s="176"/>
      <c r="G61" s="176"/>
      <c r="I61" s="39"/>
      <c r="J61" s="176"/>
      <c r="K61" s="176"/>
      <c r="L61" s="176"/>
    </row>
    <row r="62" spans="1:12" s="42" customFormat="1">
      <c r="A62" s="52"/>
      <c r="C62" s="176"/>
      <c r="D62" s="176"/>
      <c r="E62" s="176"/>
      <c r="F62" s="176"/>
      <c r="G62" s="176"/>
      <c r="I62" s="39"/>
      <c r="J62" s="176"/>
      <c r="K62" s="176"/>
      <c r="L62" s="176"/>
    </row>
    <row r="63" spans="1:12" s="42" customFormat="1">
      <c r="A63" s="52"/>
      <c r="C63" s="176"/>
      <c r="D63" s="176"/>
      <c r="E63" s="176"/>
      <c r="F63" s="176"/>
      <c r="G63" s="176"/>
      <c r="I63" s="39"/>
      <c r="J63" s="176"/>
      <c r="K63" s="176"/>
      <c r="L63" s="176"/>
    </row>
    <row r="64" spans="1:12" s="42" customFormat="1">
      <c r="A64" s="52"/>
      <c r="C64" s="176"/>
      <c r="D64" s="176"/>
      <c r="E64" s="176"/>
      <c r="F64" s="176"/>
      <c r="G64" s="176"/>
      <c r="I64" s="39"/>
      <c r="J64" s="176"/>
      <c r="K64" s="176"/>
      <c r="L64" s="176"/>
    </row>
    <row r="65" spans="1:12" s="42" customFormat="1">
      <c r="A65" s="52"/>
      <c r="C65" s="176"/>
      <c r="D65" s="176"/>
      <c r="E65" s="176"/>
      <c r="F65" s="176"/>
      <c r="G65" s="176"/>
      <c r="I65" s="39"/>
      <c r="J65" s="176"/>
      <c r="K65" s="176"/>
      <c r="L65" s="176"/>
    </row>
    <row r="66" spans="1:12" s="42" customFormat="1">
      <c r="A66" s="52"/>
      <c r="C66" s="176"/>
      <c r="D66" s="176"/>
      <c r="E66" s="176"/>
      <c r="F66" s="176"/>
      <c r="G66" s="176"/>
      <c r="I66" s="39"/>
      <c r="J66" s="176"/>
      <c r="K66" s="176"/>
      <c r="L66" s="176"/>
    </row>
    <row r="67" spans="1:12" s="42" customFormat="1">
      <c r="A67" s="52"/>
      <c r="C67" s="176"/>
      <c r="D67" s="176"/>
      <c r="E67" s="176"/>
      <c r="F67" s="176"/>
      <c r="G67" s="176"/>
      <c r="I67" s="39"/>
      <c r="J67" s="176"/>
      <c r="K67" s="176"/>
      <c r="L67" s="176"/>
    </row>
    <row r="68" spans="1:12" s="42" customFormat="1">
      <c r="A68" s="52"/>
      <c r="C68" s="176"/>
      <c r="D68" s="176"/>
      <c r="E68" s="176"/>
      <c r="F68" s="176"/>
      <c r="G68" s="176"/>
      <c r="I68" s="39"/>
      <c r="J68" s="176"/>
      <c r="K68" s="176"/>
      <c r="L68" s="176"/>
    </row>
    <row r="69" spans="1:12" s="42" customFormat="1">
      <c r="A69" s="52"/>
      <c r="C69" s="176"/>
      <c r="D69" s="176"/>
      <c r="E69" s="176"/>
      <c r="F69" s="176"/>
      <c r="G69" s="176"/>
      <c r="I69" s="39"/>
      <c r="J69" s="176"/>
      <c r="K69" s="176"/>
      <c r="L69" s="176"/>
    </row>
    <row r="70" spans="1:12" s="42" customFormat="1">
      <c r="A70" s="52"/>
      <c r="C70" s="176"/>
      <c r="D70" s="176"/>
      <c r="E70" s="176"/>
      <c r="F70" s="176"/>
      <c r="G70" s="176"/>
      <c r="I70" s="39"/>
      <c r="J70" s="176"/>
      <c r="K70" s="176"/>
      <c r="L70" s="176"/>
    </row>
    <row r="71" spans="1:12" s="42" customFormat="1">
      <c r="A71" s="52"/>
      <c r="C71" s="176"/>
      <c r="D71" s="176"/>
      <c r="E71" s="176"/>
      <c r="F71" s="176"/>
      <c r="G71" s="176"/>
      <c r="I71" s="39"/>
      <c r="J71" s="176"/>
      <c r="K71" s="176"/>
      <c r="L71" s="176"/>
    </row>
    <row r="72" spans="1:12" s="42" customFormat="1">
      <c r="A72" s="52"/>
      <c r="C72" s="176"/>
      <c r="D72" s="176"/>
      <c r="E72" s="176"/>
      <c r="F72" s="176"/>
      <c r="G72" s="176"/>
      <c r="I72" s="39"/>
      <c r="J72" s="176"/>
      <c r="K72" s="176"/>
      <c r="L72" s="176"/>
    </row>
    <row r="73" spans="1:12" s="42" customFormat="1">
      <c r="A73" s="52"/>
      <c r="C73" s="176"/>
      <c r="D73" s="176"/>
      <c r="E73" s="176"/>
      <c r="F73" s="176"/>
      <c r="G73" s="176"/>
      <c r="I73" s="39"/>
      <c r="J73" s="176"/>
      <c r="K73" s="176"/>
      <c r="L73" s="176"/>
    </row>
    <row r="74" spans="1:12" s="42" customFormat="1">
      <c r="A74" s="52"/>
      <c r="C74" s="176"/>
      <c r="D74" s="176"/>
      <c r="E74" s="176"/>
      <c r="F74" s="176"/>
      <c r="G74" s="176"/>
      <c r="I74" s="39"/>
      <c r="J74" s="176"/>
      <c r="K74" s="176"/>
      <c r="L74" s="176"/>
    </row>
    <row r="75" spans="1:12" s="42" customFormat="1">
      <c r="A75" s="52"/>
      <c r="C75" s="176"/>
      <c r="D75" s="176"/>
      <c r="E75" s="176"/>
      <c r="F75" s="176"/>
      <c r="G75" s="176"/>
      <c r="I75" s="39"/>
      <c r="J75" s="176"/>
      <c r="K75" s="176"/>
      <c r="L75" s="176"/>
    </row>
    <row r="76" spans="1:12" s="42" customFormat="1">
      <c r="A76" s="52"/>
      <c r="C76" s="176"/>
      <c r="D76" s="176"/>
      <c r="E76" s="176"/>
      <c r="F76" s="176"/>
      <c r="G76" s="176"/>
      <c r="I76" s="39"/>
      <c r="J76" s="176"/>
      <c r="K76" s="176"/>
      <c r="L76" s="176"/>
    </row>
    <row r="77" spans="1:12" s="42" customFormat="1">
      <c r="A77" s="52"/>
      <c r="C77" s="176"/>
      <c r="D77" s="176"/>
      <c r="E77" s="176"/>
      <c r="F77" s="176"/>
      <c r="G77" s="176"/>
      <c r="I77" s="39"/>
      <c r="J77" s="176"/>
      <c r="K77" s="176"/>
      <c r="L77" s="176"/>
    </row>
    <row r="78" spans="1:12" s="42" customFormat="1">
      <c r="A78" s="52"/>
      <c r="C78" s="176"/>
      <c r="D78" s="176"/>
      <c r="E78" s="176"/>
      <c r="F78" s="176"/>
      <c r="G78" s="176"/>
      <c r="I78" s="39"/>
      <c r="J78" s="176"/>
      <c r="K78" s="176"/>
      <c r="L78" s="176"/>
    </row>
    <row r="79" spans="1:12" s="42" customFormat="1">
      <c r="A79" s="52"/>
      <c r="C79" s="176"/>
      <c r="D79" s="176"/>
      <c r="E79" s="176"/>
      <c r="F79" s="176"/>
      <c r="G79" s="176"/>
      <c r="I79" s="39"/>
      <c r="J79" s="176"/>
      <c r="K79" s="176"/>
      <c r="L79" s="176"/>
    </row>
    <row r="80" spans="1:12" s="42" customFormat="1">
      <c r="A80" s="52"/>
      <c r="C80" s="176"/>
      <c r="D80" s="176"/>
      <c r="E80" s="176"/>
      <c r="F80" s="176"/>
      <c r="G80" s="176"/>
      <c r="I80" s="39"/>
      <c r="J80" s="176"/>
      <c r="K80" s="176"/>
      <c r="L80" s="176"/>
    </row>
    <row r="81" spans="1:12" s="42" customFormat="1">
      <c r="A81" s="52"/>
      <c r="C81" s="176"/>
      <c r="D81" s="176"/>
      <c r="E81" s="176"/>
      <c r="F81" s="176"/>
      <c r="G81" s="176"/>
      <c r="I81" s="39"/>
      <c r="J81" s="176"/>
      <c r="K81" s="176"/>
      <c r="L81" s="176"/>
    </row>
    <row r="82" spans="1:12" s="42" customFormat="1">
      <c r="A82" s="52"/>
      <c r="C82" s="176"/>
      <c r="D82" s="176"/>
      <c r="E82" s="176"/>
      <c r="F82" s="176"/>
      <c r="G82" s="176"/>
      <c r="I82" s="39"/>
      <c r="J82" s="176"/>
      <c r="K82" s="176"/>
      <c r="L82" s="176"/>
    </row>
    <row r="83" spans="1:12" s="42" customFormat="1">
      <c r="A83" s="52"/>
      <c r="C83" s="176"/>
      <c r="D83" s="176"/>
      <c r="E83" s="176"/>
      <c r="F83" s="176"/>
      <c r="G83" s="176"/>
      <c r="I83" s="39"/>
      <c r="J83" s="176"/>
      <c r="K83" s="176"/>
      <c r="L83" s="176"/>
    </row>
    <row r="84" spans="1:12" s="42" customFormat="1">
      <c r="A84" s="52"/>
      <c r="C84" s="176"/>
      <c r="D84" s="176"/>
      <c r="E84" s="176"/>
      <c r="F84" s="176"/>
      <c r="G84" s="176"/>
      <c r="I84" s="39"/>
      <c r="J84" s="176"/>
      <c r="K84" s="176"/>
      <c r="L84" s="176"/>
    </row>
    <row r="85" spans="1:12" s="42" customFormat="1">
      <c r="A85" s="52"/>
      <c r="C85" s="176"/>
      <c r="D85" s="176"/>
      <c r="E85" s="176"/>
      <c r="F85" s="176"/>
      <c r="G85" s="176"/>
      <c r="I85" s="39"/>
      <c r="J85" s="176"/>
      <c r="K85" s="176"/>
      <c r="L85" s="176"/>
    </row>
    <row r="86" spans="1:12" s="42" customFormat="1">
      <c r="A86" s="52"/>
      <c r="C86" s="176"/>
      <c r="D86" s="176"/>
      <c r="E86" s="176"/>
      <c r="F86" s="176"/>
      <c r="G86" s="176"/>
      <c r="I86" s="39"/>
      <c r="J86" s="176"/>
      <c r="K86" s="176"/>
      <c r="L86" s="176"/>
    </row>
    <row r="87" spans="1:12" s="42" customFormat="1">
      <c r="A87" s="52"/>
      <c r="C87" s="176"/>
      <c r="D87" s="176"/>
      <c r="E87" s="176"/>
      <c r="F87" s="176"/>
      <c r="G87" s="176"/>
      <c r="I87" s="39"/>
      <c r="J87" s="176"/>
      <c r="K87" s="176"/>
      <c r="L87" s="176"/>
    </row>
    <row r="88" spans="1:12" s="42" customFormat="1">
      <c r="A88" s="52"/>
      <c r="C88" s="176"/>
      <c r="D88" s="176"/>
      <c r="E88" s="176"/>
      <c r="F88" s="176"/>
      <c r="G88" s="176"/>
      <c r="I88" s="39"/>
      <c r="J88" s="176"/>
      <c r="K88" s="176"/>
      <c r="L88" s="176"/>
    </row>
    <row r="89" spans="1:12" s="42" customFormat="1">
      <c r="A89" s="52"/>
      <c r="C89" s="176"/>
      <c r="D89" s="176"/>
      <c r="E89" s="176"/>
      <c r="F89" s="176"/>
      <c r="G89" s="176"/>
      <c r="I89" s="39"/>
      <c r="J89" s="176"/>
      <c r="K89" s="176"/>
      <c r="L89" s="176"/>
    </row>
    <row r="90" spans="1:12" s="42" customFormat="1">
      <c r="A90" s="52"/>
      <c r="C90" s="176"/>
      <c r="D90" s="176"/>
      <c r="E90" s="176"/>
      <c r="F90" s="176"/>
      <c r="G90" s="176"/>
      <c r="I90" s="39"/>
      <c r="J90" s="176"/>
      <c r="K90" s="176"/>
      <c r="L90" s="176"/>
    </row>
    <row r="91" spans="1:12" s="42" customFormat="1">
      <c r="A91" s="52"/>
      <c r="C91" s="176"/>
      <c r="D91" s="176"/>
      <c r="E91" s="176"/>
      <c r="F91" s="176"/>
      <c r="G91" s="176"/>
      <c r="I91" s="39"/>
      <c r="J91" s="176"/>
      <c r="K91" s="176"/>
      <c r="L91" s="176"/>
    </row>
    <row r="92" spans="1:12" s="42" customFormat="1">
      <c r="A92" s="52"/>
      <c r="C92" s="176"/>
      <c r="D92" s="176"/>
      <c r="E92" s="176"/>
      <c r="F92" s="176"/>
      <c r="G92" s="176"/>
      <c r="I92" s="39"/>
      <c r="J92" s="176"/>
      <c r="K92" s="176"/>
      <c r="L92" s="176"/>
    </row>
    <row r="93" spans="1:12" s="42" customFormat="1">
      <c r="A93" s="52"/>
      <c r="C93" s="176"/>
      <c r="D93" s="176"/>
      <c r="E93" s="176"/>
      <c r="F93" s="176"/>
      <c r="G93" s="176"/>
      <c r="I93" s="39"/>
      <c r="J93" s="176"/>
      <c r="K93" s="176"/>
      <c r="L93" s="176"/>
    </row>
    <row r="94" spans="1:12" s="42" customFormat="1">
      <c r="A94" s="52"/>
      <c r="C94" s="176"/>
      <c r="D94" s="176"/>
      <c r="E94" s="176"/>
      <c r="F94" s="176"/>
      <c r="G94" s="176"/>
      <c r="I94" s="39"/>
      <c r="J94" s="176"/>
      <c r="K94" s="176"/>
      <c r="L94" s="176"/>
    </row>
    <row r="95" spans="1:12" s="42" customFormat="1">
      <c r="A95" s="52"/>
      <c r="C95" s="176"/>
      <c r="D95" s="176"/>
      <c r="E95" s="176"/>
      <c r="F95" s="176"/>
      <c r="G95" s="176"/>
      <c r="I95" s="39"/>
      <c r="J95" s="176"/>
      <c r="K95" s="176"/>
      <c r="L95" s="176"/>
    </row>
    <row r="96" spans="1:12" s="42" customFormat="1">
      <c r="A96" s="52"/>
      <c r="C96" s="176"/>
      <c r="D96" s="176"/>
      <c r="E96" s="176"/>
      <c r="F96" s="176"/>
      <c r="G96" s="176"/>
      <c r="I96" s="39"/>
      <c r="J96" s="176"/>
      <c r="K96" s="176"/>
      <c r="L96" s="176"/>
    </row>
    <row r="97" spans="1:12" s="42" customFormat="1">
      <c r="A97" s="52"/>
      <c r="C97" s="176"/>
      <c r="D97" s="176"/>
      <c r="E97" s="176"/>
      <c r="F97" s="176"/>
      <c r="G97" s="176"/>
      <c r="I97" s="39"/>
      <c r="J97" s="176"/>
      <c r="K97" s="176"/>
      <c r="L97" s="176"/>
    </row>
    <row r="98" spans="1:12" s="42" customFormat="1">
      <c r="A98" s="52"/>
      <c r="C98" s="176"/>
      <c r="D98" s="176"/>
      <c r="E98" s="176"/>
      <c r="F98" s="176"/>
      <c r="G98" s="176"/>
      <c r="I98" s="39"/>
      <c r="J98" s="176"/>
      <c r="K98" s="176"/>
      <c r="L98" s="176"/>
    </row>
    <row r="99" spans="1:12" s="42" customFormat="1">
      <c r="A99" s="52"/>
      <c r="C99" s="176"/>
      <c r="D99" s="176"/>
      <c r="E99" s="176"/>
      <c r="F99" s="176"/>
      <c r="G99" s="176"/>
      <c r="I99" s="39"/>
      <c r="J99" s="176"/>
      <c r="K99" s="176"/>
      <c r="L99" s="176"/>
    </row>
    <row r="100" spans="1:12" s="42" customFormat="1">
      <c r="A100" s="52"/>
      <c r="C100" s="176"/>
      <c r="D100" s="176"/>
      <c r="E100" s="176"/>
      <c r="F100" s="176"/>
      <c r="G100" s="176"/>
      <c r="I100" s="39"/>
      <c r="J100" s="176"/>
      <c r="K100" s="176"/>
      <c r="L100" s="176"/>
    </row>
    <row r="101" spans="1:12" s="42" customFormat="1">
      <c r="A101" s="52"/>
      <c r="C101" s="176"/>
      <c r="D101" s="176"/>
      <c r="E101" s="176"/>
      <c r="F101" s="176"/>
      <c r="G101" s="176"/>
      <c r="I101" s="39"/>
      <c r="J101" s="176"/>
      <c r="K101" s="176"/>
      <c r="L101" s="176"/>
    </row>
    <row r="102" spans="1:12" s="42" customFormat="1">
      <c r="A102" s="52"/>
      <c r="C102" s="176"/>
      <c r="D102" s="176"/>
      <c r="E102" s="176"/>
      <c r="F102" s="176"/>
      <c r="G102" s="176"/>
      <c r="I102" s="39"/>
      <c r="J102" s="176"/>
      <c r="K102" s="176"/>
      <c r="L102" s="176"/>
    </row>
    <row r="103" spans="1:12" s="42" customFormat="1">
      <c r="A103" s="52"/>
      <c r="C103" s="176"/>
      <c r="D103" s="176"/>
      <c r="E103" s="176"/>
      <c r="F103" s="176"/>
      <c r="G103" s="176"/>
      <c r="I103" s="39"/>
      <c r="J103" s="176"/>
      <c r="K103" s="176"/>
      <c r="L103" s="176"/>
    </row>
    <row r="104" spans="1:12" s="42" customFormat="1">
      <c r="A104" s="52"/>
      <c r="C104" s="176"/>
      <c r="D104" s="176"/>
      <c r="E104" s="176"/>
      <c r="F104" s="176"/>
      <c r="G104" s="176"/>
      <c r="I104" s="39"/>
      <c r="J104" s="176"/>
      <c r="K104" s="176"/>
      <c r="L104" s="176"/>
    </row>
    <row r="105" spans="1:12" s="42" customFormat="1">
      <c r="A105" s="52"/>
      <c r="C105" s="176"/>
      <c r="D105" s="176"/>
      <c r="E105" s="176"/>
      <c r="F105" s="176"/>
      <c r="G105" s="176"/>
      <c r="I105" s="39"/>
      <c r="J105" s="176"/>
      <c r="K105" s="176"/>
      <c r="L105" s="176"/>
    </row>
    <row r="106" spans="1:12" s="42" customFormat="1">
      <c r="A106" s="52"/>
      <c r="C106" s="176"/>
      <c r="D106" s="176"/>
      <c r="E106" s="176"/>
      <c r="F106" s="176"/>
      <c r="G106" s="176"/>
      <c r="I106" s="39"/>
      <c r="J106" s="176"/>
      <c r="K106" s="176"/>
      <c r="L106" s="176"/>
    </row>
    <row r="107" spans="1:12" s="42" customFormat="1">
      <c r="A107" s="52"/>
      <c r="C107" s="176"/>
      <c r="D107" s="176"/>
      <c r="E107" s="176"/>
      <c r="F107" s="176"/>
      <c r="G107" s="176"/>
      <c r="I107" s="39"/>
      <c r="J107" s="176"/>
      <c r="K107" s="176"/>
      <c r="L107" s="176"/>
    </row>
    <row r="108" spans="1:12" s="42" customFormat="1">
      <c r="A108" s="52"/>
      <c r="C108" s="176"/>
      <c r="D108" s="176"/>
      <c r="E108" s="176"/>
      <c r="F108" s="176"/>
      <c r="G108" s="176"/>
      <c r="I108" s="39"/>
      <c r="J108" s="176"/>
      <c r="K108" s="176"/>
      <c r="L108" s="176"/>
    </row>
    <row r="109" spans="1:12" s="42" customFormat="1">
      <c r="A109" s="52"/>
      <c r="C109" s="176"/>
      <c r="D109" s="176"/>
      <c r="E109" s="176"/>
      <c r="F109" s="176"/>
      <c r="G109" s="176"/>
      <c r="I109" s="39"/>
      <c r="J109" s="176"/>
      <c r="K109" s="176"/>
      <c r="L109" s="176"/>
    </row>
    <row r="110" spans="1:12" s="42" customFormat="1">
      <c r="A110" s="52"/>
      <c r="C110" s="176"/>
      <c r="D110" s="176"/>
      <c r="E110" s="176"/>
      <c r="F110" s="176"/>
      <c r="G110" s="176"/>
      <c r="I110" s="39"/>
      <c r="J110" s="176"/>
      <c r="K110" s="176"/>
      <c r="L110" s="176"/>
    </row>
    <row r="111" spans="1:12" s="42" customFormat="1">
      <c r="A111" s="52"/>
      <c r="C111" s="176"/>
      <c r="D111" s="176"/>
      <c r="E111" s="176"/>
      <c r="F111" s="176"/>
      <c r="G111" s="176"/>
      <c r="I111" s="39"/>
      <c r="J111" s="176"/>
      <c r="K111" s="176"/>
      <c r="L111" s="176"/>
    </row>
    <row r="112" spans="1:12" s="42" customFormat="1">
      <c r="A112" s="52"/>
      <c r="C112" s="176"/>
      <c r="D112" s="176"/>
      <c r="E112" s="176"/>
      <c r="F112" s="176"/>
      <c r="G112" s="176"/>
      <c r="I112" s="39"/>
      <c r="J112" s="176"/>
      <c r="K112" s="176"/>
      <c r="L112" s="176"/>
    </row>
    <row r="113" spans="1:12" s="42" customFormat="1">
      <c r="A113" s="52"/>
      <c r="C113" s="176"/>
      <c r="D113" s="176"/>
      <c r="E113" s="176"/>
      <c r="F113" s="176"/>
      <c r="G113" s="176"/>
      <c r="I113" s="39"/>
      <c r="J113" s="176"/>
      <c r="K113" s="176"/>
      <c r="L113" s="176"/>
    </row>
    <row r="114" spans="1:12" s="42" customFormat="1">
      <c r="A114" s="52"/>
      <c r="C114" s="176"/>
      <c r="D114" s="176"/>
      <c r="E114" s="176"/>
      <c r="F114" s="176"/>
      <c r="G114" s="176"/>
      <c r="I114" s="39"/>
      <c r="J114" s="176"/>
      <c r="K114" s="176"/>
      <c r="L114" s="176"/>
    </row>
    <row r="115" spans="1:12" s="42" customFormat="1">
      <c r="A115" s="52"/>
      <c r="C115" s="176"/>
      <c r="D115" s="176"/>
      <c r="E115" s="176"/>
      <c r="F115" s="176"/>
      <c r="G115" s="176"/>
      <c r="I115" s="39"/>
      <c r="J115" s="176"/>
      <c r="K115" s="176"/>
      <c r="L115" s="176"/>
    </row>
    <row r="116" spans="1:12" s="42" customFormat="1">
      <c r="A116" s="52"/>
      <c r="C116" s="176"/>
      <c r="D116" s="176"/>
      <c r="E116" s="176"/>
      <c r="F116" s="176"/>
      <c r="G116" s="176"/>
      <c r="I116" s="39"/>
      <c r="J116" s="176"/>
      <c r="K116" s="176"/>
      <c r="L116" s="176"/>
    </row>
    <row r="117" spans="1:12" s="42" customFormat="1">
      <c r="A117" s="52"/>
      <c r="C117" s="176"/>
      <c r="D117" s="176"/>
      <c r="E117" s="176"/>
      <c r="F117" s="176"/>
      <c r="G117" s="176"/>
      <c r="I117" s="39"/>
      <c r="J117" s="176"/>
      <c r="K117" s="176"/>
      <c r="L117" s="176"/>
    </row>
    <row r="118" spans="1:12" s="42" customFormat="1">
      <c r="A118" s="52"/>
      <c r="C118" s="176"/>
      <c r="D118" s="176"/>
      <c r="E118" s="176"/>
      <c r="F118" s="176"/>
      <c r="G118" s="176"/>
      <c r="I118" s="39"/>
      <c r="J118" s="176"/>
      <c r="K118" s="176"/>
      <c r="L118" s="176"/>
    </row>
    <row r="119" spans="1:12" s="42" customFormat="1">
      <c r="A119" s="52"/>
      <c r="C119" s="176"/>
      <c r="D119" s="176"/>
      <c r="E119" s="176"/>
      <c r="F119" s="176"/>
      <c r="G119" s="176"/>
      <c r="I119" s="39"/>
      <c r="J119" s="176"/>
      <c r="K119" s="176"/>
      <c r="L119" s="176"/>
    </row>
    <row r="120" spans="1:12" s="42" customFormat="1">
      <c r="A120" s="52"/>
      <c r="C120" s="176"/>
      <c r="D120" s="176"/>
      <c r="E120" s="176"/>
      <c r="F120" s="176"/>
      <c r="G120" s="176"/>
      <c r="I120" s="39"/>
      <c r="J120" s="176"/>
      <c r="K120" s="176"/>
      <c r="L120" s="176"/>
    </row>
    <row r="121" spans="1:12" s="42" customFormat="1">
      <c r="A121" s="52"/>
      <c r="C121" s="176"/>
      <c r="D121" s="176"/>
      <c r="E121" s="176"/>
      <c r="F121" s="176"/>
      <c r="G121" s="176"/>
      <c r="I121" s="39"/>
      <c r="J121" s="176"/>
      <c r="K121" s="176"/>
      <c r="L121" s="176"/>
    </row>
    <row r="122" spans="1:12" s="42" customFormat="1">
      <c r="A122" s="52"/>
      <c r="C122" s="176"/>
      <c r="D122" s="176"/>
      <c r="E122" s="176"/>
      <c r="F122" s="176"/>
      <c r="G122" s="176"/>
      <c r="I122" s="39"/>
      <c r="J122" s="176"/>
      <c r="K122" s="176"/>
      <c r="L122" s="176"/>
    </row>
    <row r="123" spans="1:12" s="42" customFormat="1">
      <c r="A123" s="52"/>
      <c r="C123" s="176"/>
      <c r="D123" s="176"/>
      <c r="E123" s="176"/>
      <c r="F123" s="176"/>
      <c r="G123" s="176"/>
      <c r="I123" s="39"/>
      <c r="J123" s="176"/>
      <c r="K123" s="176"/>
      <c r="L123" s="176"/>
    </row>
    <row r="124" spans="1:12" s="42" customFormat="1">
      <c r="A124" s="52"/>
      <c r="C124" s="176"/>
      <c r="D124" s="176"/>
      <c r="E124" s="176"/>
      <c r="F124" s="176"/>
      <c r="G124" s="176"/>
      <c r="I124" s="39"/>
      <c r="J124" s="176"/>
      <c r="K124" s="176"/>
      <c r="L124" s="176"/>
    </row>
    <row r="125" spans="1:12" s="42" customFormat="1">
      <c r="A125" s="52"/>
      <c r="C125" s="176"/>
      <c r="D125" s="176"/>
      <c r="E125" s="176"/>
      <c r="F125" s="176"/>
      <c r="G125" s="176"/>
      <c r="I125" s="39"/>
      <c r="J125" s="176"/>
      <c r="K125" s="176"/>
      <c r="L125" s="176"/>
    </row>
    <row r="126" spans="1:12" s="42" customFormat="1">
      <c r="A126" s="52"/>
      <c r="C126" s="176"/>
      <c r="D126" s="176"/>
      <c r="E126" s="176"/>
      <c r="F126" s="176"/>
      <c r="G126" s="176"/>
      <c r="I126" s="39"/>
      <c r="J126" s="176"/>
      <c r="K126" s="176"/>
      <c r="L126" s="176"/>
    </row>
    <row r="127" spans="1:12" s="42" customFormat="1">
      <c r="A127" s="52"/>
      <c r="C127" s="176"/>
      <c r="D127" s="176"/>
      <c r="E127" s="176"/>
      <c r="F127" s="176"/>
      <c r="G127" s="176"/>
      <c r="I127" s="39"/>
      <c r="J127" s="176"/>
      <c r="K127" s="176"/>
      <c r="L127" s="176"/>
    </row>
    <row r="128" spans="1:12" s="42" customFormat="1">
      <c r="A128" s="52"/>
      <c r="C128" s="176"/>
      <c r="D128" s="176"/>
      <c r="E128" s="176"/>
      <c r="F128" s="176"/>
      <c r="G128" s="176"/>
      <c r="I128" s="39"/>
      <c r="J128" s="176"/>
      <c r="K128" s="176"/>
      <c r="L128" s="176"/>
    </row>
    <row r="129" spans="1:12" s="42" customFormat="1">
      <c r="A129" s="52"/>
      <c r="C129" s="176"/>
      <c r="D129" s="176"/>
      <c r="E129" s="176"/>
      <c r="F129" s="176"/>
      <c r="G129" s="176"/>
      <c r="I129" s="39"/>
      <c r="J129" s="176"/>
      <c r="K129" s="176"/>
      <c r="L129" s="176"/>
    </row>
    <row r="130" spans="1:12" s="42" customFormat="1">
      <c r="A130" s="52"/>
      <c r="C130" s="176"/>
      <c r="D130" s="176"/>
      <c r="E130" s="176"/>
      <c r="F130" s="176"/>
      <c r="G130" s="176"/>
      <c r="I130" s="39"/>
      <c r="J130" s="176"/>
      <c r="K130" s="176"/>
      <c r="L130" s="176"/>
    </row>
    <row r="131" spans="1:12" s="42" customFormat="1">
      <c r="A131" s="52"/>
      <c r="C131" s="176"/>
      <c r="D131" s="176"/>
      <c r="E131" s="176"/>
      <c r="F131" s="176"/>
      <c r="G131" s="176"/>
      <c r="I131" s="39"/>
      <c r="J131" s="176"/>
      <c r="K131" s="176"/>
      <c r="L131" s="176"/>
    </row>
    <row r="132" spans="1:12" s="42" customFormat="1">
      <c r="A132" s="52"/>
      <c r="C132" s="176"/>
      <c r="D132" s="176"/>
      <c r="E132" s="176"/>
      <c r="F132" s="176"/>
      <c r="G132" s="176"/>
      <c r="I132" s="39"/>
      <c r="J132" s="176"/>
      <c r="K132" s="176"/>
      <c r="L132" s="176"/>
    </row>
    <row r="133" spans="1:12" s="42" customFormat="1">
      <c r="A133" s="52"/>
      <c r="C133" s="176"/>
      <c r="D133" s="176"/>
      <c r="E133" s="176"/>
      <c r="F133" s="176"/>
      <c r="G133" s="176"/>
      <c r="I133" s="39"/>
      <c r="J133" s="176"/>
      <c r="K133" s="176"/>
      <c r="L133" s="176"/>
    </row>
    <row r="134" spans="1:12" s="42" customFormat="1">
      <c r="A134" s="52"/>
      <c r="C134" s="176"/>
      <c r="D134" s="176"/>
      <c r="E134" s="176"/>
      <c r="F134" s="176"/>
      <c r="G134" s="176"/>
      <c r="I134" s="39"/>
      <c r="J134" s="176"/>
      <c r="K134" s="176"/>
      <c r="L134" s="176"/>
    </row>
    <row r="135" spans="1:12" s="42" customFormat="1">
      <c r="A135" s="52"/>
      <c r="C135" s="176"/>
      <c r="D135" s="176"/>
      <c r="E135" s="176"/>
      <c r="F135" s="176"/>
      <c r="G135" s="176"/>
      <c r="I135" s="39"/>
      <c r="J135" s="176"/>
      <c r="K135" s="176"/>
      <c r="L135" s="176"/>
    </row>
    <row r="136" spans="1:12" s="42" customFormat="1">
      <c r="A136" s="52"/>
      <c r="C136" s="176"/>
      <c r="D136" s="176"/>
      <c r="E136" s="176"/>
      <c r="F136" s="176"/>
      <c r="G136" s="176"/>
      <c r="I136" s="39"/>
      <c r="J136" s="176"/>
      <c r="K136" s="176"/>
      <c r="L136" s="176"/>
    </row>
    <row r="137" spans="1:12" s="42" customFormat="1">
      <c r="A137" s="52"/>
      <c r="C137" s="176"/>
      <c r="D137" s="176"/>
      <c r="E137" s="176"/>
      <c r="F137" s="176"/>
      <c r="G137" s="176"/>
      <c r="I137" s="39"/>
      <c r="J137" s="176"/>
      <c r="K137" s="176"/>
      <c r="L137" s="176"/>
    </row>
    <row r="138" spans="1:12" s="42" customFormat="1">
      <c r="A138" s="52"/>
      <c r="C138" s="176"/>
      <c r="D138" s="176"/>
      <c r="E138" s="176"/>
      <c r="F138" s="176"/>
      <c r="G138" s="176"/>
      <c r="I138" s="39"/>
      <c r="J138" s="176"/>
      <c r="K138" s="176"/>
      <c r="L138" s="176"/>
    </row>
    <row r="139" spans="1:12" s="42" customFormat="1">
      <c r="A139" s="52"/>
      <c r="C139" s="176"/>
      <c r="D139" s="176"/>
      <c r="E139" s="176"/>
      <c r="F139" s="176"/>
      <c r="G139" s="176"/>
      <c r="I139" s="39"/>
      <c r="J139" s="176"/>
      <c r="K139" s="176"/>
      <c r="L139" s="176"/>
    </row>
    <row r="140" spans="1:12" s="42" customFormat="1">
      <c r="A140" s="52"/>
      <c r="C140" s="176"/>
      <c r="D140" s="176"/>
      <c r="E140" s="176"/>
      <c r="F140" s="176"/>
      <c r="G140" s="176"/>
      <c r="I140" s="39"/>
      <c r="J140" s="176"/>
      <c r="K140" s="176"/>
      <c r="L140" s="176"/>
    </row>
    <row r="141" spans="1:12" s="42" customFormat="1">
      <c r="A141" s="52"/>
      <c r="C141" s="176"/>
      <c r="D141" s="176"/>
      <c r="E141" s="176"/>
      <c r="F141" s="176"/>
      <c r="G141" s="176"/>
      <c r="I141" s="39"/>
      <c r="J141" s="176"/>
      <c r="K141" s="176"/>
      <c r="L141" s="176"/>
    </row>
    <row r="142" spans="1:12" s="42" customFormat="1">
      <c r="A142" s="52"/>
      <c r="C142" s="176"/>
      <c r="D142" s="176"/>
      <c r="E142" s="176"/>
      <c r="F142" s="176"/>
      <c r="G142" s="176"/>
      <c r="I142" s="39"/>
      <c r="J142" s="176"/>
      <c r="K142" s="176"/>
      <c r="L142" s="176"/>
    </row>
    <row r="143" spans="1:12" s="42" customFormat="1">
      <c r="A143" s="52"/>
      <c r="C143" s="176"/>
      <c r="D143" s="176"/>
      <c r="E143" s="176"/>
      <c r="F143" s="176"/>
      <c r="G143" s="176"/>
      <c r="I143" s="39"/>
      <c r="J143" s="176"/>
      <c r="K143" s="176"/>
      <c r="L143" s="176"/>
    </row>
    <row r="144" spans="1:12" s="42" customFormat="1">
      <c r="A144" s="52"/>
      <c r="C144" s="176"/>
      <c r="D144" s="176"/>
      <c r="E144" s="176"/>
      <c r="F144" s="176"/>
      <c r="G144" s="176"/>
      <c r="I144" s="39"/>
      <c r="J144" s="176"/>
      <c r="K144" s="176"/>
      <c r="L144" s="176"/>
    </row>
    <row r="145" spans="1:12" s="42" customFormat="1">
      <c r="A145" s="52"/>
      <c r="C145" s="176"/>
      <c r="D145" s="176"/>
      <c r="E145" s="176"/>
      <c r="F145" s="176"/>
      <c r="G145" s="176"/>
      <c r="I145" s="39"/>
      <c r="J145" s="176"/>
      <c r="K145" s="176"/>
      <c r="L145" s="176"/>
    </row>
    <row r="146" spans="1:12" s="42" customFormat="1">
      <c r="A146" s="52"/>
      <c r="C146" s="176"/>
      <c r="D146" s="176"/>
      <c r="E146" s="176"/>
      <c r="F146" s="176"/>
      <c r="G146" s="176"/>
      <c r="I146" s="39"/>
      <c r="J146" s="176"/>
      <c r="K146" s="176"/>
      <c r="L146" s="176"/>
    </row>
    <row r="147" spans="1:12" s="42" customFormat="1">
      <c r="A147" s="52"/>
      <c r="C147" s="176"/>
      <c r="D147" s="176"/>
      <c r="E147" s="176"/>
      <c r="F147" s="176"/>
      <c r="G147" s="176"/>
      <c r="I147" s="39"/>
      <c r="J147" s="176"/>
      <c r="K147" s="176"/>
      <c r="L147" s="176"/>
    </row>
    <row r="148" spans="1:12" s="42" customFormat="1">
      <c r="A148" s="52"/>
      <c r="C148" s="176"/>
      <c r="D148" s="176"/>
      <c r="E148" s="176"/>
      <c r="F148" s="176"/>
      <c r="G148" s="176"/>
      <c r="I148" s="39"/>
      <c r="J148" s="176"/>
      <c r="K148" s="176"/>
      <c r="L148" s="176"/>
    </row>
    <row r="149" spans="1:12" s="42" customFormat="1">
      <c r="A149" s="52"/>
      <c r="C149" s="176"/>
      <c r="D149" s="176"/>
      <c r="E149" s="176"/>
      <c r="F149" s="176"/>
      <c r="G149" s="176"/>
      <c r="I149" s="39"/>
      <c r="J149" s="176"/>
      <c r="K149" s="176"/>
      <c r="L149" s="176"/>
    </row>
    <row r="150" spans="1:12" s="42" customFormat="1">
      <c r="A150" s="52"/>
      <c r="C150" s="176"/>
      <c r="D150" s="176"/>
      <c r="E150" s="176"/>
      <c r="F150" s="176"/>
      <c r="G150" s="176"/>
      <c r="I150" s="39"/>
      <c r="J150" s="176"/>
      <c r="K150" s="176"/>
      <c r="L150" s="176"/>
    </row>
    <row r="151" spans="1:12" s="42" customFormat="1">
      <c r="A151" s="52"/>
      <c r="C151" s="176"/>
      <c r="D151" s="176"/>
      <c r="E151" s="176"/>
      <c r="F151" s="176"/>
      <c r="G151" s="176"/>
      <c r="I151" s="39"/>
      <c r="J151" s="176"/>
      <c r="K151" s="176"/>
      <c r="L151" s="176"/>
    </row>
    <row r="152" spans="1:12" s="42" customFormat="1">
      <c r="A152" s="52"/>
      <c r="C152" s="176"/>
      <c r="D152" s="176"/>
      <c r="E152" s="176"/>
      <c r="F152" s="176"/>
      <c r="G152" s="176"/>
      <c r="I152" s="39"/>
      <c r="J152" s="176"/>
      <c r="K152" s="176"/>
      <c r="L152" s="176"/>
    </row>
    <row r="153" spans="1:12" s="42" customFormat="1">
      <c r="A153" s="52"/>
      <c r="C153" s="176"/>
      <c r="D153" s="176"/>
      <c r="E153" s="176"/>
      <c r="F153" s="176"/>
      <c r="G153" s="176"/>
      <c r="I153" s="39"/>
      <c r="J153" s="176"/>
      <c r="K153" s="176"/>
      <c r="L153" s="176"/>
    </row>
    <row r="154" spans="1:12" s="42" customFormat="1">
      <c r="A154" s="52"/>
      <c r="C154" s="176"/>
      <c r="D154" s="176"/>
      <c r="E154" s="176"/>
      <c r="F154" s="176"/>
      <c r="G154" s="176"/>
      <c r="I154" s="39"/>
      <c r="J154" s="176"/>
      <c r="K154" s="176"/>
      <c r="L154" s="176"/>
    </row>
    <row r="155" spans="1:12" s="42" customFormat="1">
      <c r="A155" s="52"/>
      <c r="C155" s="176"/>
      <c r="D155" s="176"/>
      <c r="E155" s="176"/>
      <c r="F155" s="176"/>
      <c r="G155" s="176"/>
      <c r="I155" s="39"/>
      <c r="J155" s="176"/>
      <c r="K155" s="176"/>
      <c r="L155" s="176"/>
    </row>
    <row r="156" spans="1:12" s="42" customFormat="1">
      <c r="A156" s="52"/>
      <c r="C156" s="176"/>
      <c r="D156" s="176"/>
      <c r="E156" s="176"/>
      <c r="F156" s="176"/>
      <c r="G156" s="176"/>
      <c r="I156" s="39"/>
      <c r="J156" s="176"/>
      <c r="K156" s="176"/>
      <c r="L156" s="176"/>
    </row>
    <row r="157" spans="1:12" s="42" customFormat="1">
      <c r="A157" s="52"/>
      <c r="C157" s="176"/>
      <c r="D157" s="176"/>
      <c r="E157" s="176"/>
      <c r="F157" s="176"/>
      <c r="G157" s="176"/>
      <c r="I157" s="39"/>
      <c r="J157" s="176"/>
      <c r="K157" s="176"/>
      <c r="L157" s="176"/>
    </row>
    <row r="158" spans="1:12" s="42" customFormat="1">
      <c r="A158" s="52"/>
      <c r="C158" s="176"/>
      <c r="D158" s="176"/>
      <c r="E158" s="176"/>
      <c r="F158" s="176"/>
      <c r="G158" s="176"/>
      <c r="I158" s="39"/>
      <c r="J158" s="176"/>
      <c r="K158" s="176"/>
      <c r="L158" s="176"/>
    </row>
    <row r="159" spans="1:12" s="42" customFormat="1">
      <c r="A159" s="52"/>
      <c r="C159" s="176"/>
      <c r="D159" s="176"/>
      <c r="E159" s="176"/>
      <c r="F159" s="176"/>
      <c r="G159" s="176"/>
      <c r="I159" s="39"/>
      <c r="J159" s="176"/>
      <c r="K159" s="176"/>
      <c r="L159" s="176"/>
    </row>
    <row r="160" spans="1:12" s="42" customFormat="1">
      <c r="A160" s="52"/>
      <c r="C160" s="176"/>
      <c r="D160" s="176"/>
      <c r="E160" s="176"/>
      <c r="F160" s="176"/>
      <c r="G160" s="176"/>
      <c r="I160" s="39"/>
      <c r="J160" s="176"/>
      <c r="K160" s="176"/>
      <c r="L160" s="176"/>
    </row>
    <row r="161" spans="1:12" s="42" customFormat="1">
      <c r="A161" s="52"/>
      <c r="C161" s="176"/>
      <c r="D161" s="176"/>
      <c r="E161" s="176"/>
      <c r="F161" s="176"/>
      <c r="G161" s="176"/>
      <c r="I161" s="39"/>
      <c r="J161" s="176"/>
      <c r="K161" s="176"/>
      <c r="L161" s="176"/>
    </row>
    <row r="162" spans="1:12" s="42" customFormat="1">
      <c r="A162" s="52"/>
      <c r="C162" s="176"/>
      <c r="D162" s="176"/>
      <c r="E162" s="176"/>
      <c r="F162" s="176"/>
      <c r="G162" s="176"/>
      <c r="I162" s="39"/>
      <c r="J162" s="176"/>
      <c r="K162" s="176"/>
      <c r="L162" s="176"/>
    </row>
    <row r="163" spans="1:12" s="42" customFormat="1">
      <c r="A163" s="52"/>
      <c r="C163" s="176"/>
      <c r="D163" s="176"/>
      <c r="E163" s="176"/>
      <c r="F163" s="176"/>
      <c r="G163" s="176"/>
      <c r="I163" s="39"/>
      <c r="J163" s="176"/>
      <c r="K163" s="176"/>
      <c r="L163" s="176"/>
    </row>
    <row r="164" spans="1:12" s="42" customFormat="1">
      <c r="A164" s="52"/>
      <c r="C164" s="176"/>
      <c r="D164" s="176"/>
      <c r="E164" s="176"/>
      <c r="F164" s="176"/>
      <c r="G164" s="176"/>
      <c r="I164" s="39"/>
      <c r="J164" s="176"/>
      <c r="K164" s="176"/>
      <c r="L164" s="176"/>
    </row>
    <row r="165" spans="1:12" s="42" customFormat="1">
      <c r="A165" s="52"/>
      <c r="C165" s="176"/>
      <c r="D165" s="176"/>
      <c r="E165" s="176"/>
      <c r="F165" s="176"/>
      <c r="G165" s="176"/>
      <c r="I165" s="39"/>
      <c r="J165" s="176"/>
      <c r="K165" s="176"/>
      <c r="L165" s="176"/>
    </row>
    <row r="166" spans="1:12" s="42" customFormat="1">
      <c r="A166" s="52"/>
      <c r="C166" s="176"/>
      <c r="D166" s="176"/>
      <c r="E166" s="176"/>
      <c r="F166" s="176"/>
      <c r="G166" s="176"/>
      <c r="I166" s="39"/>
      <c r="J166" s="176"/>
      <c r="K166" s="176"/>
      <c r="L166" s="176"/>
    </row>
    <row r="167" spans="1:12" s="42" customFormat="1">
      <c r="A167" s="52"/>
      <c r="C167" s="176"/>
      <c r="D167" s="176"/>
      <c r="E167" s="176"/>
      <c r="F167" s="176"/>
      <c r="G167" s="176"/>
      <c r="I167" s="39"/>
      <c r="J167" s="176"/>
      <c r="K167" s="176"/>
      <c r="L167" s="176"/>
    </row>
    <row r="168" spans="1:12" s="42" customFormat="1">
      <c r="A168" s="52"/>
      <c r="C168" s="176"/>
      <c r="D168" s="176"/>
      <c r="E168" s="176"/>
      <c r="F168" s="176"/>
      <c r="G168" s="176"/>
      <c r="I168" s="39"/>
      <c r="J168" s="176"/>
      <c r="K168" s="176"/>
      <c r="L168" s="176"/>
    </row>
    <row r="169" spans="1:12" s="42" customFormat="1">
      <c r="A169" s="52"/>
      <c r="C169" s="176"/>
      <c r="D169" s="176"/>
      <c r="E169" s="176"/>
      <c r="F169" s="176"/>
      <c r="G169" s="176"/>
      <c r="I169" s="39"/>
      <c r="J169" s="176"/>
      <c r="K169" s="176"/>
      <c r="L169" s="176"/>
    </row>
    <row r="170" spans="1:12" s="42" customFormat="1">
      <c r="A170" s="52"/>
      <c r="C170" s="176"/>
      <c r="D170" s="176"/>
      <c r="E170" s="176"/>
      <c r="F170" s="176"/>
      <c r="G170" s="176"/>
      <c r="I170" s="39"/>
      <c r="J170" s="176"/>
      <c r="K170" s="176"/>
      <c r="L170" s="176"/>
    </row>
    <row r="171" spans="1:12" s="42" customFormat="1">
      <c r="A171" s="52"/>
      <c r="C171" s="176"/>
      <c r="D171" s="176"/>
      <c r="E171" s="176"/>
      <c r="F171" s="176"/>
      <c r="G171" s="176"/>
      <c r="I171" s="39"/>
      <c r="J171" s="176"/>
      <c r="K171" s="176"/>
      <c r="L171" s="176"/>
    </row>
    <row r="172" spans="1:12" s="42" customFormat="1">
      <c r="A172" s="52"/>
      <c r="C172" s="176"/>
      <c r="D172" s="176"/>
      <c r="E172" s="176"/>
      <c r="F172" s="176"/>
      <c r="G172" s="176"/>
      <c r="I172" s="39"/>
      <c r="J172" s="176"/>
      <c r="K172" s="176"/>
      <c r="L172" s="176"/>
    </row>
    <row r="173" spans="1:12" s="42" customFormat="1">
      <c r="A173" s="52"/>
      <c r="C173" s="176"/>
      <c r="D173" s="176"/>
      <c r="E173" s="176"/>
      <c r="F173" s="176"/>
      <c r="G173" s="176"/>
      <c r="I173" s="39"/>
      <c r="J173" s="176"/>
      <c r="K173" s="176"/>
      <c r="L173" s="176"/>
    </row>
    <row r="174" spans="1:12" s="42" customFormat="1">
      <c r="A174" s="52"/>
      <c r="C174" s="176"/>
      <c r="D174" s="176"/>
      <c r="E174" s="176"/>
      <c r="F174" s="176"/>
      <c r="G174" s="176"/>
      <c r="I174" s="39"/>
      <c r="J174" s="176"/>
      <c r="K174" s="176"/>
      <c r="L174" s="176"/>
    </row>
    <row r="175" spans="1:12" s="42" customFormat="1">
      <c r="A175" s="52"/>
      <c r="C175" s="176"/>
      <c r="D175" s="176"/>
      <c r="E175" s="176"/>
      <c r="F175" s="176"/>
      <c r="G175" s="176"/>
      <c r="I175" s="39"/>
      <c r="J175" s="176"/>
      <c r="K175" s="176"/>
      <c r="L175" s="176"/>
    </row>
    <row r="176" spans="1:12" s="42" customFormat="1">
      <c r="A176" s="52"/>
      <c r="C176" s="176"/>
      <c r="D176" s="176"/>
      <c r="E176" s="176"/>
      <c r="F176" s="176"/>
      <c r="G176" s="176"/>
      <c r="I176" s="39"/>
      <c r="J176" s="176"/>
      <c r="K176" s="176"/>
      <c r="L176" s="176"/>
    </row>
    <row r="177" spans="1:12" s="42" customFormat="1">
      <c r="A177" s="52"/>
      <c r="C177" s="176"/>
      <c r="D177" s="176"/>
      <c r="E177" s="176"/>
      <c r="F177" s="176"/>
      <c r="G177" s="176"/>
      <c r="I177" s="39"/>
      <c r="J177" s="176"/>
      <c r="K177" s="176"/>
      <c r="L177" s="176"/>
    </row>
    <row r="178" spans="1:12" s="42" customFormat="1">
      <c r="A178" s="52"/>
      <c r="C178" s="176"/>
      <c r="D178" s="176"/>
      <c r="E178" s="176"/>
      <c r="F178" s="176"/>
      <c r="G178" s="176"/>
      <c r="I178" s="39"/>
      <c r="J178" s="176"/>
      <c r="K178" s="176"/>
      <c r="L178" s="176"/>
    </row>
    <row r="179" spans="1:12" s="42" customFormat="1">
      <c r="A179" s="52"/>
      <c r="C179" s="176"/>
      <c r="D179" s="176"/>
      <c r="E179" s="176"/>
      <c r="F179" s="176"/>
      <c r="G179" s="176"/>
      <c r="I179" s="39"/>
      <c r="J179" s="176"/>
      <c r="K179" s="176"/>
      <c r="L179" s="176"/>
    </row>
    <row r="180" spans="1:12" s="42" customFormat="1">
      <c r="A180" s="52"/>
      <c r="C180" s="176"/>
      <c r="D180" s="176"/>
      <c r="E180" s="176"/>
      <c r="F180" s="176"/>
      <c r="G180" s="176"/>
      <c r="I180" s="39"/>
      <c r="J180" s="176"/>
      <c r="K180" s="176"/>
      <c r="L180" s="176"/>
    </row>
    <row r="181" spans="1:12" s="42" customFormat="1">
      <c r="A181" s="52"/>
      <c r="C181" s="176"/>
      <c r="D181" s="176"/>
      <c r="E181" s="176"/>
      <c r="F181" s="176"/>
      <c r="G181" s="176"/>
      <c r="I181" s="39"/>
      <c r="J181" s="176"/>
      <c r="K181" s="176"/>
      <c r="L181" s="176"/>
    </row>
    <row r="182" spans="1:12" s="42" customFormat="1">
      <c r="A182" s="52"/>
      <c r="C182" s="176"/>
      <c r="D182" s="176"/>
      <c r="E182" s="176"/>
      <c r="F182" s="176"/>
      <c r="G182" s="176"/>
      <c r="I182" s="39"/>
      <c r="J182" s="176"/>
      <c r="K182" s="176"/>
      <c r="L182" s="176"/>
    </row>
    <row r="183" spans="1:12" s="42" customFormat="1">
      <c r="A183" s="52"/>
      <c r="C183" s="176"/>
      <c r="D183" s="176"/>
      <c r="E183" s="176"/>
      <c r="F183" s="176"/>
      <c r="G183" s="176"/>
      <c r="I183" s="39"/>
      <c r="J183" s="176"/>
      <c r="K183" s="176"/>
      <c r="L183" s="176"/>
    </row>
    <row r="184" spans="1:12" s="42" customFormat="1">
      <c r="A184" s="52"/>
      <c r="C184" s="176"/>
      <c r="D184" s="176"/>
      <c r="E184" s="176"/>
      <c r="F184" s="176"/>
      <c r="G184" s="176"/>
      <c r="I184" s="39"/>
      <c r="J184" s="176"/>
      <c r="K184" s="176"/>
      <c r="L184" s="176"/>
    </row>
    <row r="185" spans="1:12" s="42" customFormat="1">
      <c r="A185" s="52"/>
      <c r="C185" s="176"/>
      <c r="D185" s="176"/>
      <c r="E185" s="176"/>
      <c r="F185" s="176"/>
      <c r="G185" s="176"/>
      <c r="I185" s="39"/>
      <c r="J185" s="176"/>
      <c r="K185" s="176"/>
      <c r="L185" s="176"/>
    </row>
    <row r="186" spans="1:12" s="42" customFormat="1">
      <c r="A186" s="52"/>
      <c r="C186" s="176"/>
      <c r="D186" s="176"/>
      <c r="E186" s="176"/>
      <c r="F186" s="176"/>
      <c r="G186" s="176"/>
      <c r="I186" s="39"/>
      <c r="J186" s="176"/>
      <c r="K186" s="176"/>
      <c r="L186" s="176"/>
    </row>
    <row r="187" spans="1:12" s="42" customFormat="1">
      <c r="A187" s="52"/>
      <c r="C187" s="176"/>
      <c r="D187" s="176"/>
      <c r="E187" s="176"/>
      <c r="F187" s="176"/>
      <c r="G187" s="176"/>
      <c r="I187" s="39"/>
      <c r="J187" s="176"/>
      <c r="K187" s="176"/>
      <c r="L187" s="176"/>
    </row>
    <row r="188" spans="1:12" s="42" customFormat="1">
      <c r="A188" s="52"/>
      <c r="C188" s="176"/>
      <c r="D188" s="176"/>
      <c r="E188" s="176"/>
      <c r="F188" s="176"/>
      <c r="G188" s="176"/>
      <c r="I188" s="39"/>
      <c r="J188" s="176"/>
      <c r="K188" s="176"/>
      <c r="L188" s="176"/>
    </row>
    <row r="189" spans="1:12" s="42" customFormat="1">
      <c r="A189" s="52"/>
      <c r="C189" s="176"/>
      <c r="D189" s="176"/>
      <c r="E189" s="176"/>
      <c r="F189" s="176"/>
      <c r="G189" s="176"/>
      <c r="I189" s="39"/>
      <c r="J189" s="176"/>
      <c r="K189" s="176"/>
      <c r="L189" s="176"/>
    </row>
    <row r="190" spans="1:12" s="42" customFormat="1">
      <c r="A190" s="52"/>
      <c r="C190" s="176"/>
      <c r="D190" s="176"/>
      <c r="E190" s="176"/>
      <c r="F190" s="176"/>
      <c r="G190" s="176"/>
      <c r="I190" s="39"/>
      <c r="J190" s="176"/>
      <c r="K190" s="176"/>
      <c r="L190" s="176"/>
    </row>
    <row r="191" spans="1:12" s="42" customFormat="1">
      <c r="A191" s="52"/>
      <c r="C191" s="176"/>
      <c r="D191" s="176"/>
      <c r="E191" s="176"/>
      <c r="F191" s="176"/>
      <c r="G191" s="176"/>
      <c r="I191" s="39"/>
      <c r="J191" s="176"/>
      <c r="K191" s="176"/>
      <c r="L191" s="176"/>
    </row>
    <row r="192" spans="1:12" s="42" customFormat="1">
      <c r="A192" s="52"/>
      <c r="C192" s="176"/>
      <c r="D192" s="176"/>
      <c r="E192" s="176"/>
      <c r="F192" s="176"/>
      <c r="G192" s="176"/>
      <c r="I192" s="39"/>
      <c r="J192" s="176"/>
      <c r="K192" s="176"/>
      <c r="L192" s="176"/>
    </row>
    <row r="193" spans="1:12" s="42" customFormat="1">
      <c r="A193" s="52"/>
      <c r="C193" s="176"/>
      <c r="D193" s="176"/>
      <c r="E193" s="176"/>
      <c r="F193" s="176"/>
      <c r="G193" s="176"/>
      <c r="I193" s="39"/>
      <c r="J193" s="176"/>
      <c r="K193" s="176"/>
      <c r="L193" s="176"/>
    </row>
    <row r="194" spans="1:12" s="42" customFormat="1">
      <c r="A194" s="52"/>
      <c r="C194" s="176"/>
      <c r="D194" s="176"/>
      <c r="E194" s="176"/>
      <c r="F194" s="176"/>
      <c r="G194" s="176"/>
      <c r="I194" s="39"/>
      <c r="J194" s="176"/>
      <c r="K194" s="176"/>
      <c r="L194" s="176"/>
    </row>
    <row r="195" spans="1:12" s="42" customFormat="1">
      <c r="A195" s="52"/>
      <c r="C195" s="176"/>
      <c r="D195" s="176"/>
      <c r="E195" s="176"/>
      <c r="F195" s="176"/>
      <c r="G195" s="176"/>
      <c r="I195" s="39"/>
      <c r="J195" s="176"/>
      <c r="K195" s="176"/>
      <c r="L195" s="176"/>
    </row>
    <row r="196" spans="1:12" s="42" customFormat="1">
      <c r="A196" s="52"/>
      <c r="C196" s="176"/>
      <c r="D196" s="176"/>
      <c r="E196" s="176"/>
      <c r="F196" s="176"/>
      <c r="G196" s="176"/>
      <c r="I196" s="39"/>
      <c r="J196" s="176"/>
      <c r="K196" s="176"/>
      <c r="L196" s="176"/>
    </row>
    <row r="197" spans="1:12" s="42" customFormat="1">
      <c r="A197" s="52"/>
      <c r="C197" s="176"/>
      <c r="D197" s="176"/>
      <c r="E197" s="176"/>
      <c r="F197" s="176"/>
      <c r="G197" s="176"/>
      <c r="I197" s="39"/>
      <c r="J197" s="176"/>
      <c r="K197" s="176"/>
      <c r="L197" s="176"/>
    </row>
    <row r="198" spans="1:12" s="42" customFormat="1">
      <c r="A198" s="52"/>
      <c r="C198" s="176"/>
      <c r="D198" s="176"/>
      <c r="E198" s="176"/>
      <c r="F198" s="176"/>
      <c r="G198" s="176"/>
      <c r="I198" s="39"/>
      <c r="J198" s="176"/>
      <c r="K198" s="176"/>
      <c r="L198" s="176"/>
    </row>
    <row r="199" spans="1:12" s="42" customFormat="1">
      <c r="A199" s="52"/>
      <c r="C199" s="176"/>
      <c r="D199" s="176"/>
      <c r="E199" s="176"/>
      <c r="F199" s="176"/>
      <c r="G199" s="176"/>
      <c r="I199" s="39"/>
      <c r="J199" s="176"/>
      <c r="K199" s="176"/>
      <c r="L199" s="176"/>
    </row>
  </sheetData>
  <mergeCells count="10">
    <mergeCell ref="A1:H1"/>
    <mergeCell ref="C49:D49"/>
    <mergeCell ref="F49:H49"/>
    <mergeCell ref="C48:D48"/>
    <mergeCell ref="F48:H48"/>
    <mergeCell ref="A2:H2"/>
    <mergeCell ref="A3:A4"/>
    <mergeCell ref="B3:B4"/>
    <mergeCell ref="C3:D3"/>
    <mergeCell ref="E3:H3"/>
  </mergeCells>
  <phoneticPr fontId="3" type="noConversion"/>
  <pageMargins left="1.1811023622047245" right="0.39370078740157483" top="0.78740157480314965" bottom="0.78740157480314965" header="0.19685039370078741" footer="0.11811023622047245"/>
  <pageSetup paperSize="9" scale="60" fitToHeight="2" orientation="landscape" verticalDpi="300" r:id="rId1"/>
  <headerFooter alignWithMargins="0">
    <oddHeader>&amp;C
7&amp;R
&amp;"Times New Roman,обычный"&amp;14Продовження додатка 3
Таблиця 2</oddHeader>
  </headerFooter>
  <ignoredErrors>
    <ignoredError sqref="H8 H21 H23 H30:H33 H36 H39 H44 H19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6"/>
  <sheetViews>
    <sheetView zoomScale="50" zoomScaleNormal="50" zoomScaleSheetLayoutView="75" workbookViewId="0">
      <pane xSplit="1" ySplit="5" topLeftCell="B6" activePane="bottomRight" state="frozen"/>
      <selection activeCell="A67" sqref="A67"/>
      <selection pane="topRight" activeCell="A67" sqref="A67"/>
      <selection pane="bottomLeft" activeCell="A67" sqref="A67"/>
      <selection pane="bottomRight" activeCell="T24" sqref="T24"/>
    </sheetView>
  </sheetViews>
  <sheetFormatPr defaultColWidth="9.109375" defaultRowHeight="18"/>
  <cols>
    <col min="1" max="1" width="88" style="2" customWidth="1"/>
    <col min="2" max="2" width="15" style="2" customWidth="1"/>
    <col min="3" max="7" width="20.44140625" style="28" customWidth="1"/>
    <col min="8" max="8" width="18.44140625" style="2" customWidth="1"/>
    <col min="9" max="9" width="9.109375" style="2"/>
    <col min="10" max="12" width="20.44140625" style="28" hidden="1" customWidth="1"/>
    <col min="13" max="13" width="19.77734375" style="2" customWidth="1"/>
    <col min="14" max="16384" width="9.109375" style="2"/>
  </cols>
  <sheetData>
    <row r="1" spans="1:13">
      <c r="A1" s="379" t="s">
        <v>276</v>
      </c>
      <c r="B1" s="379"/>
      <c r="C1" s="379"/>
      <c r="D1" s="379"/>
      <c r="E1" s="379"/>
      <c r="F1" s="379"/>
      <c r="G1" s="379"/>
      <c r="H1" s="379"/>
      <c r="J1" s="2"/>
      <c r="K1" s="2"/>
      <c r="L1" s="2"/>
    </row>
    <row r="2" spans="1:13" ht="8.1" customHeight="1">
      <c r="A2" s="21"/>
      <c r="B2" s="21"/>
      <c r="C2" s="158"/>
      <c r="D2" s="158"/>
      <c r="E2" s="158"/>
      <c r="F2" s="158"/>
      <c r="G2" s="158"/>
      <c r="H2" s="21"/>
      <c r="J2" s="158"/>
      <c r="K2" s="158"/>
      <c r="L2" s="158"/>
    </row>
    <row r="3" spans="1:13" ht="42.45" customHeight="1">
      <c r="A3" s="382" t="s">
        <v>192</v>
      </c>
      <c r="B3" s="396" t="s">
        <v>0</v>
      </c>
      <c r="C3" s="380" t="s">
        <v>335</v>
      </c>
      <c r="D3" s="380"/>
      <c r="E3" s="381" t="s">
        <v>564</v>
      </c>
      <c r="F3" s="381"/>
      <c r="G3" s="381"/>
      <c r="H3" s="381"/>
      <c r="J3" s="225"/>
      <c r="K3" s="225"/>
      <c r="L3" s="225"/>
    </row>
    <row r="4" spans="1:13" ht="24.15" customHeight="1">
      <c r="A4" s="382"/>
      <c r="B4" s="396"/>
      <c r="C4" s="198" t="s">
        <v>179</v>
      </c>
      <c r="D4" s="201" t="s">
        <v>180</v>
      </c>
      <c r="E4" s="137" t="s">
        <v>181</v>
      </c>
      <c r="F4" s="137" t="s">
        <v>168</v>
      </c>
      <c r="G4" s="163" t="s">
        <v>187</v>
      </c>
      <c r="H4" s="61" t="s">
        <v>188</v>
      </c>
      <c r="J4" s="222"/>
      <c r="K4" s="229"/>
      <c r="L4" s="233"/>
    </row>
    <row r="5" spans="1:13" s="188" customFormat="1">
      <c r="A5" s="186">
        <v>1</v>
      </c>
      <c r="B5" s="187">
        <v>2</v>
      </c>
      <c r="C5" s="187">
        <v>6</v>
      </c>
      <c r="D5" s="187">
        <v>6</v>
      </c>
      <c r="E5" s="186">
        <v>5</v>
      </c>
      <c r="F5" s="187">
        <v>6</v>
      </c>
      <c r="G5" s="186">
        <v>7</v>
      </c>
      <c r="H5" s="187">
        <v>8</v>
      </c>
      <c r="J5" s="187"/>
      <c r="K5" s="187"/>
      <c r="L5" s="187"/>
    </row>
    <row r="6" spans="1:13" ht="22.05" customHeight="1">
      <c r="A6" s="123" t="s">
        <v>285</v>
      </c>
      <c r="B6" s="106"/>
      <c r="C6" s="177"/>
      <c r="D6" s="177"/>
      <c r="E6" s="177"/>
      <c r="F6" s="177"/>
      <c r="G6" s="177"/>
      <c r="H6" s="107"/>
      <c r="J6" s="177"/>
      <c r="K6" s="177"/>
      <c r="L6" s="177"/>
    </row>
    <row r="7" spans="1:13" s="51" customFormat="1" ht="27.9" customHeight="1">
      <c r="A7" s="114" t="s">
        <v>257</v>
      </c>
      <c r="B7" s="105">
        <v>3000</v>
      </c>
      <c r="C7" s="150">
        <v>12827.099999999999</v>
      </c>
      <c r="D7" s="150">
        <f t="shared" ref="D7" si="0">D8+D11+D23</f>
        <v>15858.300000000001</v>
      </c>
      <c r="E7" s="150">
        <f t="shared" ref="E7:F7" si="1">E8+E11+E23</f>
        <v>15678.6</v>
      </c>
      <c r="F7" s="150">
        <f t="shared" si="1"/>
        <v>15858.300000000001</v>
      </c>
      <c r="G7" s="165">
        <f>F7-E7</f>
        <v>179.70000000000073</v>
      </c>
      <c r="H7" s="118">
        <f>(F7/E7)*100</f>
        <v>101.14614825303281</v>
      </c>
      <c r="J7" s="150"/>
      <c r="K7" s="150"/>
      <c r="L7" s="150"/>
      <c r="M7" s="28"/>
    </row>
    <row r="8" spans="1:13" ht="20.100000000000001" customHeight="1">
      <c r="A8" s="8" t="s">
        <v>393</v>
      </c>
      <c r="B8" s="9">
        <v>3010</v>
      </c>
      <c r="C8" s="198">
        <v>10142.799999999999</v>
      </c>
      <c r="D8" s="201">
        <f>F8+J8+K8+L8</f>
        <v>15684.2</v>
      </c>
      <c r="E8" s="143">
        <v>15593.6</v>
      </c>
      <c r="F8" s="137">
        <v>15684.2</v>
      </c>
      <c r="G8" s="137">
        <f t="shared" ref="G8:G93" si="2">F8-E8</f>
        <v>90.600000000000364</v>
      </c>
      <c r="H8" s="117">
        <f t="shared" ref="H8:H93" si="3">(F8/E8)*100</f>
        <v>100.58100759285861</v>
      </c>
      <c r="J8" s="222"/>
      <c r="K8" s="229"/>
      <c r="L8" s="233"/>
      <c r="M8" s="28"/>
    </row>
    <row r="9" spans="1:13" ht="20.100000000000001" customHeight="1">
      <c r="A9" s="8" t="s">
        <v>277</v>
      </c>
      <c r="B9" s="9">
        <v>3020</v>
      </c>
      <c r="C9" s="198">
        <v>0</v>
      </c>
      <c r="D9" s="229">
        <f t="shared" ref="D9:D10" si="4">F9+J9+K9</f>
        <v>0</v>
      </c>
      <c r="E9" s="143">
        <v>0</v>
      </c>
      <c r="F9" s="137">
        <v>0</v>
      </c>
      <c r="G9" s="137">
        <f t="shared" si="2"/>
        <v>0</v>
      </c>
      <c r="H9" s="117"/>
      <c r="J9" s="222"/>
      <c r="K9" s="229"/>
      <c r="L9" s="233"/>
      <c r="M9" s="28"/>
    </row>
    <row r="10" spans="1:13" ht="20.100000000000001" customHeight="1">
      <c r="A10" s="8" t="s">
        <v>278</v>
      </c>
      <c r="B10" s="9">
        <v>3021</v>
      </c>
      <c r="C10" s="198">
        <v>0</v>
      </c>
      <c r="D10" s="229">
        <f t="shared" si="4"/>
        <v>0</v>
      </c>
      <c r="E10" s="143">
        <v>0</v>
      </c>
      <c r="F10" s="137">
        <v>0</v>
      </c>
      <c r="G10" s="137">
        <f t="shared" si="2"/>
        <v>0</v>
      </c>
      <c r="H10" s="117"/>
      <c r="J10" s="222"/>
      <c r="K10" s="229"/>
      <c r="L10" s="233"/>
      <c r="M10" s="28"/>
    </row>
    <row r="11" spans="1:13" s="15" customFormat="1" ht="20.100000000000001" customHeight="1">
      <c r="A11" s="141" t="s">
        <v>392</v>
      </c>
      <c r="B11" s="11">
        <v>3030</v>
      </c>
      <c r="C11" s="165">
        <v>2616.5</v>
      </c>
      <c r="D11" s="165">
        <f>F11+J11+K11+L11</f>
        <v>3.2</v>
      </c>
      <c r="E11" s="165">
        <v>0</v>
      </c>
      <c r="F11" s="165">
        <v>3.2</v>
      </c>
      <c r="G11" s="165">
        <f t="shared" si="2"/>
        <v>3.2</v>
      </c>
      <c r="H11" s="118"/>
      <c r="J11" s="165"/>
      <c r="K11" s="165"/>
      <c r="L11" s="165"/>
      <c r="M11" s="28"/>
    </row>
    <row r="12" spans="1:13" s="138" customFormat="1" ht="20.100000000000001" hidden="1" customHeight="1">
      <c r="A12" s="139" t="s">
        <v>473</v>
      </c>
      <c r="B12" s="189"/>
      <c r="C12" s="125">
        <v>271.60000000000002</v>
      </c>
      <c r="D12" s="125">
        <v>271.60000000000002</v>
      </c>
      <c r="E12" s="125">
        <v>403.5</v>
      </c>
      <c r="F12" s="125">
        <v>271.60000000000002</v>
      </c>
      <c r="G12" s="125">
        <f t="shared" si="2"/>
        <v>-131.89999999999998</v>
      </c>
      <c r="H12" s="117">
        <f t="shared" si="3"/>
        <v>67.311028500619585</v>
      </c>
      <c r="J12" s="125"/>
      <c r="K12" s="125"/>
      <c r="L12" s="125"/>
      <c r="M12" s="28"/>
    </row>
    <row r="13" spans="1:13" s="138" customFormat="1" ht="20.100000000000001" hidden="1" customHeight="1">
      <c r="A13" s="156" t="s">
        <v>474</v>
      </c>
      <c r="B13" s="189"/>
      <c r="C13" s="125">
        <v>2332.4</v>
      </c>
      <c r="D13" s="125">
        <v>2332.4</v>
      </c>
      <c r="E13" s="125">
        <v>2602.9</v>
      </c>
      <c r="F13" s="125">
        <v>2332.4</v>
      </c>
      <c r="G13" s="125">
        <f t="shared" si="2"/>
        <v>-270.5</v>
      </c>
      <c r="H13" s="117">
        <f t="shared" si="3"/>
        <v>89.60774520726882</v>
      </c>
      <c r="J13" s="125"/>
      <c r="K13" s="125"/>
      <c r="L13" s="125"/>
      <c r="M13" s="28"/>
    </row>
    <row r="14" spans="1:13" s="138" customFormat="1" ht="20.100000000000001" hidden="1" customHeight="1">
      <c r="A14" s="156" t="s">
        <v>250</v>
      </c>
      <c r="B14" s="189"/>
      <c r="C14" s="125">
        <v>918.8</v>
      </c>
      <c r="D14" s="125">
        <v>918.8</v>
      </c>
      <c r="E14" s="125">
        <v>0</v>
      </c>
      <c r="F14" s="125">
        <v>918.8</v>
      </c>
      <c r="G14" s="125">
        <f t="shared" si="2"/>
        <v>918.8</v>
      </c>
      <c r="H14" s="117"/>
      <c r="J14" s="125"/>
      <c r="K14" s="125"/>
      <c r="L14" s="125"/>
      <c r="M14" s="28"/>
    </row>
    <row r="15" spans="1:13" s="138" customFormat="1" ht="20.100000000000001" hidden="1" customHeight="1">
      <c r="A15" s="156" t="s">
        <v>475</v>
      </c>
      <c r="B15" s="189"/>
      <c r="C15" s="125">
        <v>0</v>
      </c>
      <c r="D15" s="125">
        <v>0</v>
      </c>
      <c r="E15" s="125">
        <v>0</v>
      </c>
      <c r="F15" s="125">
        <v>0</v>
      </c>
      <c r="G15" s="125">
        <f t="shared" si="2"/>
        <v>0</v>
      </c>
      <c r="H15" s="117"/>
      <c r="J15" s="125"/>
      <c r="K15" s="125"/>
      <c r="L15" s="125"/>
      <c r="M15" s="28"/>
    </row>
    <row r="16" spans="1:13" s="138" customFormat="1" ht="20.100000000000001" hidden="1" customHeight="1">
      <c r="A16" s="156" t="s">
        <v>476</v>
      </c>
      <c r="B16" s="189"/>
      <c r="C16" s="125">
        <v>0</v>
      </c>
      <c r="D16" s="125">
        <v>0</v>
      </c>
      <c r="E16" s="125">
        <v>0</v>
      </c>
      <c r="F16" s="125">
        <v>0</v>
      </c>
      <c r="G16" s="125">
        <f t="shared" si="2"/>
        <v>0</v>
      </c>
      <c r="H16" s="117"/>
      <c r="J16" s="125"/>
      <c r="K16" s="125"/>
      <c r="L16" s="125"/>
      <c r="M16" s="28"/>
    </row>
    <row r="17" spans="1:13" s="138" customFormat="1" ht="20.100000000000001" hidden="1" customHeight="1">
      <c r="A17" s="156" t="s">
        <v>477</v>
      </c>
      <c r="B17" s="189"/>
      <c r="C17" s="125">
        <v>53</v>
      </c>
      <c r="D17" s="125">
        <v>53</v>
      </c>
      <c r="E17" s="125">
        <v>25</v>
      </c>
      <c r="F17" s="125">
        <v>53</v>
      </c>
      <c r="G17" s="125">
        <f t="shared" si="2"/>
        <v>28</v>
      </c>
      <c r="H17" s="117">
        <f t="shared" si="3"/>
        <v>212</v>
      </c>
      <c r="J17" s="125"/>
      <c r="K17" s="125"/>
      <c r="L17" s="125"/>
      <c r="M17" s="28"/>
    </row>
    <row r="18" spans="1:13" ht="20.100000000000001" customHeight="1">
      <c r="A18" s="8" t="s">
        <v>258</v>
      </c>
      <c r="B18" s="9">
        <v>3040</v>
      </c>
      <c r="C18" s="198"/>
      <c r="D18" s="201"/>
      <c r="E18" s="137"/>
      <c r="F18" s="137"/>
      <c r="G18" s="137">
        <f t="shared" si="2"/>
        <v>0</v>
      </c>
      <c r="H18" s="117"/>
      <c r="J18" s="222"/>
      <c r="K18" s="229"/>
      <c r="L18" s="233"/>
      <c r="M18" s="28"/>
    </row>
    <row r="19" spans="1:13" ht="20.100000000000001" customHeight="1">
      <c r="A19" s="8" t="s">
        <v>80</v>
      </c>
      <c r="B19" s="9">
        <v>3050</v>
      </c>
      <c r="C19" s="127">
        <v>0</v>
      </c>
      <c r="D19" s="127">
        <f>SUM(D20:D22)</f>
        <v>0</v>
      </c>
      <c r="E19" s="127">
        <f>SUM(E20:E22)</f>
        <v>0</v>
      </c>
      <c r="F19" s="127">
        <f>SUM(F20:F22)</f>
        <v>0</v>
      </c>
      <c r="G19" s="137">
        <f t="shared" si="2"/>
        <v>0</v>
      </c>
      <c r="H19" s="117"/>
      <c r="J19" s="127"/>
      <c r="K19" s="127"/>
      <c r="L19" s="127"/>
      <c r="M19" s="28"/>
    </row>
    <row r="20" spans="1:13" ht="13.5" customHeight="1">
      <c r="A20" s="8" t="s">
        <v>78</v>
      </c>
      <c r="B20" s="6">
        <v>3051</v>
      </c>
      <c r="C20" s="198"/>
      <c r="D20" s="201"/>
      <c r="E20" s="137"/>
      <c r="F20" s="137"/>
      <c r="G20" s="137">
        <f t="shared" si="2"/>
        <v>0</v>
      </c>
      <c r="H20" s="117"/>
      <c r="J20" s="222"/>
      <c r="K20" s="229"/>
      <c r="L20" s="233"/>
      <c r="M20" s="28"/>
    </row>
    <row r="21" spans="1:13" ht="15.6" customHeight="1">
      <c r="A21" s="8" t="s">
        <v>81</v>
      </c>
      <c r="B21" s="6">
        <v>3052</v>
      </c>
      <c r="C21" s="198"/>
      <c r="D21" s="201"/>
      <c r="E21" s="137"/>
      <c r="F21" s="137"/>
      <c r="G21" s="137">
        <f t="shared" si="2"/>
        <v>0</v>
      </c>
      <c r="H21" s="117"/>
      <c r="J21" s="222"/>
      <c r="K21" s="229"/>
      <c r="L21" s="233"/>
      <c r="M21" s="28"/>
    </row>
    <row r="22" spans="1:13" ht="11.25" customHeight="1">
      <c r="A22" s="8" t="s">
        <v>101</v>
      </c>
      <c r="B22" s="6">
        <v>3053</v>
      </c>
      <c r="C22" s="198"/>
      <c r="D22" s="201"/>
      <c r="E22" s="137"/>
      <c r="F22" s="137"/>
      <c r="G22" s="137">
        <f t="shared" si="2"/>
        <v>0</v>
      </c>
      <c r="H22" s="117"/>
      <c r="J22" s="222"/>
      <c r="K22" s="229"/>
      <c r="L22" s="233"/>
      <c r="M22" s="28"/>
    </row>
    <row r="23" spans="1:13" ht="20.100000000000001" customHeight="1">
      <c r="A23" s="8" t="s">
        <v>394</v>
      </c>
      <c r="B23" s="9">
        <v>3060</v>
      </c>
      <c r="C23" s="198">
        <v>67.8</v>
      </c>
      <c r="D23" s="233">
        <f>F23+J23+K23+L23</f>
        <v>170.89999999999998</v>
      </c>
      <c r="E23" s="137">
        <v>85</v>
      </c>
      <c r="F23" s="137">
        <f>39.9+126.2+3.1+1.7</f>
        <v>170.89999999999998</v>
      </c>
      <c r="G23" s="137">
        <f t="shared" si="2"/>
        <v>85.899999999999977</v>
      </c>
      <c r="H23" s="117">
        <f t="shared" si="3"/>
        <v>201.05882352941174</v>
      </c>
      <c r="J23" s="222"/>
      <c r="K23" s="229"/>
      <c r="L23" s="233"/>
      <c r="M23" s="28"/>
    </row>
    <row r="24" spans="1:13" ht="20.100000000000001" customHeight="1">
      <c r="A24" s="10" t="s">
        <v>271</v>
      </c>
      <c r="B24" s="11">
        <v>3100</v>
      </c>
      <c r="C24" s="150">
        <v>13987.7</v>
      </c>
      <c r="D24" s="150">
        <f>SUM(D25:D28,D32,D49,D50)</f>
        <v>15644.7</v>
      </c>
      <c r="E24" s="150">
        <f>SUM(E25:E28,E32,E49,E50)</f>
        <v>15687.699999999997</v>
      </c>
      <c r="F24" s="150">
        <f>SUM(F25:F28,F32,F49,F50)</f>
        <v>15644.7</v>
      </c>
      <c r="G24" s="165">
        <f t="shared" si="2"/>
        <v>-42.999999999996362</v>
      </c>
      <c r="H24" s="118">
        <f t="shared" si="3"/>
        <v>99.725899908845804</v>
      </c>
      <c r="J24" s="150"/>
      <c r="K24" s="150"/>
      <c r="L24" s="150"/>
      <c r="M24" s="28"/>
    </row>
    <row r="25" spans="1:13" ht="19.5" customHeight="1">
      <c r="A25" s="8" t="s">
        <v>261</v>
      </c>
      <c r="B25" s="9">
        <v>3110</v>
      </c>
      <c r="C25" s="198">
        <v>6156.6</v>
      </c>
      <c r="D25" s="233">
        <f>F25</f>
        <v>5341.5</v>
      </c>
      <c r="E25" s="137">
        <v>6058.3</v>
      </c>
      <c r="F25" s="137">
        <f>5622.3-F61</f>
        <v>5341.5</v>
      </c>
      <c r="G25" s="137">
        <f t="shared" si="2"/>
        <v>-716.80000000000018</v>
      </c>
      <c r="H25" s="117">
        <f t="shared" si="3"/>
        <v>88.168298037403218</v>
      </c>
      <c r="J25" s="222"/>
      <c r="K25" s="229"/>
      <c r="L25" s="233"/>
      <c r="M25" s="28"/>
    </row>
    <row r="26" spans="1:13" ht="19.5" customHeight="1">
      <c r="A26" s="8" t="s">
        <v>262</v>
      </c>
      <c r="B26" s="9">
        <v>3120</v>
      </c>
      <c r="C26" s="198">
        <v>3859</v>
      </c>
      <c r="D26" s="233">
        <f t="shared" ref="D26:D27" si="5">F26+J26+K26+L26</f>
        <v>4741</v>
      </c>
      <c r="E26" s="137">
        <v>4650.5</v>
      </c>
      <c r="F26" s="137">
        <f>4591.6+135.5+13.9</f>
        <v>4741</v>
      </c>
      <c r="G26" s="137">
        <f t="shared" si="2"/>
        <v>90.5</v>
      </c>
      <c r="H26" s="117">
        <f t="shared" si="3"/>
        <v>101.9460273088915</v>
      </c>
      <c r="J26" s="222"/>
      <c r="K26" s="229"/>
      <c r="L26" s="233"/>
      <c r="M26" s="28"/>
    </row>
    <row r="27" spans="1:13" s="138" customFormat="1" ht="19.5" customHeight="1">
      <c r="A27" s="261" t="s">
        <v>6</v>
      </c>
      <c r="B27" s="9">
        <v>3130</v>
      </c>
      <c r="C27" s="257">
        <v>1025.5999999999999</v>
      </c>
      <c r="D27" s="257">
        <f t="shared" si="5"/>
        <v>1293.7</v>
      </c>
      <c r="E27" s="257">
        <v>1267.8</v>
      </c>
      <c r="F27" s="257">
        <v>1293.7</v>
      </c>
      <c r="G27" s="257">
        <f t="shared" ref="G27" si="6">F27-E27</f>
        <v>25.900000000000091</v>
      </c>
      <c r="H27" s="117">
        <f t="shared" ref="H27" si="7">(F27/E27)*100</f>
        <v>102.04290897617922</v>
      </c>
      <c r="J27" s="125"/>
      <c r="K27" s="125"/>
      <c r="L27" s="125"/>
      <c r="M27" s="28"/>
    </row>
    <row r="28" spans="1:13" ht="19.5" customHeight="1">
      <c r="A28" s="8" t="s">
        <v>79</v>
      </c>
      <c r="B28" s="9">
        <v>3140</v>
      </c>
      <c r="C28" s="127"/>
      <c r="D28" s="127"/>
      <c r="E28" s="127">
        <f>SUM(E29:E31)</f>
        <v>0</v>
      </c>
      <c r="F28" s="127"/>
      <c r="G28" s="137">
        <f t="shared" si="2"/>
        <v>0</v>
      </c>
      <c r="H28" s="117"/>
      <c r="J28" s="127"/>
      <c r="K28" s="127"/>
      <c r="L28" s="127"/>
      <c r="M28" s="28"/>
    </row>
    <row r="29" spans="1:13" ht="19.5" customHeight="1">
      <c r="A29" s="8" t="s">
        <v>78</v>
      </c>
      <c r="B29" s="6">
        <v>3141</v>
      </c>
      <c r="C29" s="198">
        <v>0</v>
      </c>
      <c r="D29" s="229">
        <f t="shared" ref="D29:D31" si="8">F29+J29+K29</f>
        <v>0</v>
      </c>
      <c r="E29" s="137">
        <v>0</v>
      </c>
      <c r="F29" s="137">
        <v>0</v>
      </c>
      <c r="G29" s="137">
        <f t="shared" si="2"/>
        <v>0</v>
      </c>
      <c r="H29" s="117"/>
      <c r="J29" s="222"/>
      <c r="K29" s="229"/>
      <c r="L29" s="233"/>
      <c r="M29" s="28"/>
    </row>
    <row r="30" spans="1:13" ht="19.5" customHeight="1">
      <c r="A30" s="8" t="s">
        <v>81</v>
      </c>
      <c r="B30" s="6">
        <v>3142</v>
      </c>
      <c r="C30" s="198">
        <v>0</v>
      </c>
      <c r="D30" s="229">
        <f t="shared" si="8"/>
        <v>0</v>
      </c>
      <c r="E30" s="137">
        <v>0</v>
      </c>
      <c r="F30" s="137">
        <v>0</v>
      </c>
      <c r="G30" s="137">
        <f t="shared" si="2"/>
        <v>0</v>
      </c>
      <c r="H30" s="117"/>
      <c r="J30" s="222"/>
      <c r="K30" s="229"/>
      <c r="L30" s="233"/>
      <c r="M30" s="28"/>
    </row>
    <row r="31" spans="1:13" ht="19.5" customHeight="1">
      <c r="A31" s="8" t="s">
        <v>101</v>
      </c>
      <c r="B31" s="6">
        <v>3143</v>
      </c>
      <c r="C31" s="198">
        <v>0</v>
      </c>
      <c r="D31" s="229">
        <f t="shared" si="8"/>
        <v>0</v>
      </c>
      <c r="E31" s="137">
        <v>0</v>
      </c>
      <c r="F31" s="137">
        <v>0</v>
      </c>
      <c r="G31" s="137">
        <f t="shared" si="2"/>
        <v>0</v>
      </c>
      <c r="H31" s="117"/>
      <c r="J31" s="222"/>
      <c r="K31" s="229"/>
      <c r="L31" s="233"/>
      <c r="M31" s="28"/>
    </row>
    <row r="32" spans="1:13" ht="19.5" customHeight="1">
      <c r="A32" s="8" t="s">
        <v>279</v>
      </c>
      <c r="B32" s="9">
        <v>3150</v>
      </c>
      <c r="C32" s="127">
        <v>2748.9</v>
      </c>
      <c r="D32" s="127">
        <f>SUM(D33:D38,D43)</f>
        <v>3731.4</v>
      </c>
      <c r="E32" s="127">
        <f>SUM(E33:E38,E43)</f>
        <v>3332.8</v>
      </c>
      <c r="F32" s="127">
        <f>SUM(F33:F38,F43)</f>
        <v>3731.4</v>
      </c>
      <c r="G32" s="137">
        <f t="shared" si="2"/>
        <v>398.59999999999991</v>
      </c>
      <c r="H32" s="117">
        <f t="shared" si="3"/>
        <v>111.95991358617378</v>
      </c>
      <c r="J32" s="127"/>
      <c r="K32" s="127"/>
      <c r="L32" s="127"/>
      <c r="M32" s="28"/>
    </row>
    <row r="33" spans="1:13" ht="19.5" customHeight="1">
      <c r="A33" s="8" t="s">
        <v>263</v>
      </c>
      <c r="B33" s="6">
        <v>3151</v>
      </c>
      <c r="C33" s="198">
        <v>0</v>
      </c>
      <c r="D33" s="233">
        <f t="shared" ref="D33:D37" si="9">F33+J33+K33+L33</f>
        <v>0</v>
      </c>
      <c r="E33" s="137">
        <v>170</v>
      </c>
      <c r="F33" s="137">
        <v>0</v>
      </c>
      <c r="G33" s="137">
        <f t="shared" si="2"/>
        <v>-170</v>
      </c>
      <c r="H33" s="117"/>
      <c r="J33" s="222"/>
      <c r="K33" s="229"/>
      <c r="L33" s="233"/>
      <c r="M33" s="28"/>
    </row>
    <row r="34" spans="1:13" ht="19.5" customHeight="1">
      <c r="A34" s="8" t="s">
        <v>264</v>
      </c>
      <c r="B34" s="6">
        <v>3152</v>
      </c>
      <c r="C34" s="198">
        <v>1279.8</v>
      </c>
      <c r="D34" s="233">
        <f t="shared" si="9"/>
        <v>1905</v>
      </c>
      <c r="E34" s="137">
        <v>1516</v>
      </c>
      <c r="F34" s="137">
        <v>1905</v>
      </c>
      <c r="G34" s="137">
        <f t="shared" si="2"/>
        <v>389</v>
      </c>
      <c r="H34" s="117">
        <f t="shared" si="3"/>
        <v>125.65963060686016</v>
      </c>
      <c r="J34" s="222"/>
      <c r="K34" s="229"/>
      <c r="L34" s="233"/>
      <c r="M34" s="28"/>
    </row>
    <row r="35" spans="1:13" ht="19.5" customHeight="1">
      <c r="A35" s="8" t="s">
        <v>72</v>
      </c>
      <c r="B35" s="6">
        <v>3153</v>
      </c>
      <c r="C35" s="198">
        <v>0</v>
      </c>
      <c r="D35" s="233">
        <f t="shared" si="9"/>
        <v>0</v>
      </c>
      <c r="E35" s="137">
        <v>0</v>
      </c>
      <c r="F35" s="137">
        <v>0</v>
      </c>
      <c r="G35" s="137">
        <f t="shared" si="2"/>
        <v>0</v>
      </c>
      <c r="H35" s="117"/>
      <c r="J35" s="222"/>
      <c r="K35" s="229"/>
      <c r="L35" s="233"/>
      <c r="M35" s="28"/>
    </row>
    <row r="36" spans="1:13" ht="20.100000000000001" customHeight="1">
      <c r="A36" s="8" t="s">
        <v>265</v>
      </c>
      <c r="B36" s="6">
        <v>3154</v>
      </c>
      <c r="C36" s="198">
        <v>0</v>
      </c>
      <c r="D36" s="233">
        <f t="shared" si="9"/>
        <v>0</v>
      </c>
      <c r="E36" s="137">
        <v>0</v>
      </c>
      <c r="F36" s="137">
        <v>0</v>
      </c>
      <c r="G36" s="137">
        <f t="shared" si="2"/>
        <v>0</v>
      </c>
      <c r="H36" s="117"/>
      <c r="J36" s="222"/>
      <c r="K36" s="229"/>
      <c r="L36" s="233"/>
      <c r="M36" s="28"/>
    </row>
    <row r="37" spans="1:13" ht="20.100000000000001" customHeight="1">
      <c r="A37" s="8" t="s">
        <v>71</v>
      </c>
      <c r="B37" s="6">
        <v>3155</v>
      </c>
      <c r="C37" s="198">
        <v>872</v>
      </c>
      <c r="D37" s="233">
        <f t="shared" si="9"/>
        <v>1218</v>
      </c>
      <c r="E37" s="137">
        <v>1037.3</v>
      </c>
      <c r="F37" s="137">
        <v>1218</v>
      </c>
      <c r="G37" s="137">
        <f t="shared" si="2"/>
        <v>180.70000000000005</v>
      </c>
      <c r="H37" s="117">
        <f t="shared" si="3"/>
        <v>117.42022558565507</v>
      </c>
      <c r="J37" s="222"/>
      <c r="K37" s="229"/>
      <c r="L37" s="233"/>
      <c r="M37" s="28"/>
    </row>
    <row r="38" spans="1:13" ht="20.100000000000001" customHeight="1">
      <c r="A38" s="8" t="s">
        <v>269</v>
      </c>
      <c r="B38" s="6">
        <v>3156</v>
      </c>
      <c r="C38" s="127">
        <v>597.1</v>
      </c>
      <c r="D38" s="127">
        <f t="shared" ref="D38" si="10">D39+D41+D42</f>
        <v>608.4</v>
      </c>
      <c r="E38" s="127">
        <f t="shared" ref="E38:G38" si="11">E39+E41+E42</f>
        <v>609.5</v>
      </c>
      <c r="F38" s="127">
        <f t="shared" si="11"/>
        <v>608.4</v>
      </c>
      <c r="G38" s="127">
        <f t="shared" si="11"/>
        <v>-1.1000000000000512</v>
      </c>
      <c r="H38" s="117">
        <f t="shared" si="3"/>
        <v>99.819524200164068</v>
      </c>
      <c r="J38" s="127"/>
      <c r="K38" s="127"/>
      <c r="L38" s="127"/>
      <c r="M38" s="28"/>
    </row>
    <row r="39" spans="1:13" s="139" customFormat="1" ht="40.35" customHeight="1">
      <c r="A39" s="261" t="s">
        <v>527</v>
      </c>
      <c r="B39" s="157" t="s">
        <v>525</v>
      </c>
      <c r="C39" s="125">
        <v>0</v>
      </c>
      <c r="D39" s="125">
        <v>0</v>
      </c>
      <c r="E39" s="125">
        <v>0</v>
      </c>
      <c r="F39" s="125">
        <v>0</v>
      </c>
      <c r="G39" s="125">
        <f t="shared" si="2"/>
        <v>0</v>
      </c>
      <c r="H39" s="117"/>
      <c r="J39" s="125"/>
      <c r="K39" s="125"/>
      <c r="L39" s="125"/>
      <c r="M39" s="28"/>
    </row>
    <row r="40" spans="1:13" s="269" customFormat="1" ht="36" customHeight="1">
      <c r="A40" s="309" t="s">
        <v>560</v>
      </c>
      <c r="B40" s="157" t="s">
        <v>526</v>
      </c>
      <c r="C40" s="125">
        <v>0</v>
      </c>
      <c r="D40" s="125">
        <v>0</v>
      </c>
      <c r="E40" s="125">
        <v>0</v>
      </c>
      <c r="F40" s="125">
        <v>0</v>
      </c>
      <c r="G40" s="125">
        <v>0</v>
      </c>
      <c r="H40" s="117"/>
      <c r="J40" s="125"/>
      <c r="K40" s="125"/>
      <c r="L40" s="125"/>
      <c r="M40" s="28"/>
    </row>
    <row r="41" spans="1:13" s="139" customFormat="1" ht="20.100000000000001" customHeight="1">
      <c r="A41" s="156" t="s">
        <v>363</v>
      </c>
      <c r="B41" s="157" t="s">
        <v>528</v>
      </c>
      <c r="C41" s="125">
        <v>524.4</v>
      </c>
      <c r="D41" s="125">
        <f t="shared" ref="D41:D42" si="12">F41+J41+K41+L41</f>
        <v>505.9</v>
      </c>
      <c r="E41" s="125">
        <v>523.1</v>
      </c>
      <c r="F41" s="125">
        <v>505.9</v>
      </c>
      <c r="G41" s="125">
        <f t="shared" si="2"/>
        <v>-17.200000000000045</v>
      </c>
      <c r="H41" s="117">
        <f t="shared" si="3"/>
        <v>96.711909768686667</v>
      </c>
      <c r="J41" s="125"/>
      <c r="K41" s="125"/>
      <c r="L41" s="125"/>
      <c r="M41" s="28"/>
    </row>
    <row r="42" spans="1:13" s="139" customFormat="1" ht="20.100000000000001" customHeight="1">
      <c r="A42" s="156" t="s">
        <v>478</v>
      </c>
      <c r="B42" s="157" t="s">
        <v>529</v>
      </c>
      <c r="C42" s="125">
        <v>72.7</v>
      </c>
      <c r="D42" s="125">
        <f t="shared" si="12"/>
        <v>102.5</v>
      </c>
      <c r="E42" s="125">
        <v>86.4</v>
      </c>
      <c r="F42" s="125">
        <v>102.5</v>
      </c>
      <c r="G42" s="125">
        <f t="shared" si="2"/>
        <v>16.099999999999994</v>
      </c>
      <c r="H42" s="117">
        <f t="shared" si="3"/>
        <v>118.63425925925925</v>
      </c>
      <c r="J42" s="125"/>
      <c r="K42" s="125"/>
      <c r="L42" s="125"/>
      <c r="M42" s="28"/>
    </row>
    <row r="43" spans="1:13" ht="19.95" customHeight="1">
      <c r="A43" s="8" t="s">
        <v>76</v>
      </c>
      <c r="B43" s="6">
        <v>3157</v>
      </c>
      <c r="C43" s="198">
        <v>0</v>
      </c>
      <c r="D43" s="201">
        <f>F43</f>
        <v>0</v>
      </c>
      <c r="E43" s="137" t="s">
        <v>227</v>
      </c>
      <c r="F43" s="137"/>
      <c r="G43" s="137"/>
      <c r="H43" s="117"/>
      <c r="J43" s="222"/>
      <c r="K43" s="229"/>
      <c r="L43" s="233"/>
      <c r="M43" s="28"/>
    </row>
    <row r="44" spans="1:13" s="139" customFormat="1" ht="20.100000000000001" hidden="1" customHeight="1">
      <c r="A44" s="156" t="s">
        <v>479</v>
      </c>
      <c r="B44" s="157"/>
      <c r="C44" s="125"/>
      <c r="D44" s="125"/>
      <c r="E44" s="125"/>
      <c r="F44" s="125"/>
      <c r="G44" s="137"/>
      <c r="H44" s="117"/>
      <c r="J44" s="125"/>
      <c r="K44" s="125"/>
      <c r="L44" s="125"/>
      <c r="M44" s="28"/>
    </row>
    <row r="45" spans="1:13" s="139" customFormat="1" ht="20.100000000000001" hidden="1" customHeight="1">
      <c r="A45" s="156" t="s">
        <v>480</v>
      </c>
      <c r="B45" s="157"/>
      <c r="C45" s="125"/>
      <c r="D45" s="125"/>
      <c r="E45" s="125"/>
      <c r="F45" s="125"/>
      <c r="G45" s="137"/>
      <c r="H45" s="117"/>
      <c r="J45" s="125"/>
      <c r="K45" s="125"/>
      <c r="L45" s="125"/>
      <c r="M45" s="28"/>
    </row>
    <row r="46" spans="1:13" s="139" customFormat="1" ht="20.100000000000001" hidden="1" customHeight="1">
      <c r="A46" s="156" t="s">
        <v>481</v>
      </c>
      <c r="B46" s="157"/>
      <c r="C46" s="125"/>
      <c r="D46" s="125"/>
      <c r="E46" s="125"/>
      <c r="F46" s="125"/>
      <c r="G46" s="137"/>
      <c r="H46" s="117"/>
      <c r="J46" s="125"/>
      <c r="K46" s="125"/>
      <c r="L46" s="125"/>
      <c r="M46" s="28"/>
    </row>
    <row r="47" spans="1:13" s="139" customFormat="1" ht="20.100000000000001" hidden="1" customHeight="1">
      <c r="A47" s="156" t="s">
        <v>482</v>
      </c>
      <c r="B47" s="157"/>
      <c r="C47" s="125"/>
      <c r="D47" s="125"/>
      <c r="E47" s="125"/>
      <c r="F47" s="125"/>
      <c r="G47" s="137"/>
      <c r="H47" s="117"/>
      <c r="J47" s="125"/>
      <c r="K47" s="125"/>
      <c r="L47" s="125"/>
      <c r="M47" s="28"/>
    </row>
    <row r="48" spans="1:13" s="139" customFormat="1" ht="20.100000000000001" hidden="1" customHeight="1">
      <c r="A48" s="156" t="s">
        <v>483</v>
      </c>
      <c r="B48" s="157"/>
      <c r="C48" s="125"/>
      <c r="D48" s="125"/>
      <c r="E48" s="125"/>
      <c r="F48" s="125"/>
      <c r="G48" s="137"/>
      <c r="H48" s="117"/>
      <c r="J48" s="125"/>
      <c r="K48" s="125"/>
      <c r="L48" s="125"/>
      <c r="M48" s="28"/>
    </row>
    <row r="49" spans="1:13" ht="20.100000000000001" customHeight="1">
      <c r="A49" s="261" t="s">
        <v>266</v>
      </c>
      <c r="B49" s="9">
        <v>3160</v>
      </c>
      <c r="C49" s="198" t="s">
        <v>227</v>
      </c>
      <c r="D49" s="201" t="s">
        <v>227</v>
      </c>
      <c r="E49" s="137" t="s">
        <v>227</v>
      </c>
      <c r="F49" s="137" t="s">
        <v>227</v>
      </c>
      <c r="G49" s="137"/>
      <c r="H49" s="117"/>
      <c r="J49" s="222"/>
      <c r="K49" s="229"/>
      <c r="L49" s="233"/>
      <c r="M49" s="28"/>
    </row>
    <row r="50" spans="1:13" ht="20.100000000000001" customHeight="1">
      <c r="A50" s="8" t="s">
        <v>530</v>
      </c>
      <c r="B50" s="9">
        <v>3170</v>
      </c>
      <c r="C50" s="198">
        <v>197.59999999999997</v>
      </c>
      <c r="D50" s="233">
        <f>F50</f>
        <v>537.1</v>
      </c>
      <c r="E50" s="199">
        <v>378.3</v>
      </c>
      <c r="F50" s="137">
        <f>45.7+11.1+20.7+2.4+457.2</f>
        <v>537.1</v>
      </c>
      <c r="G50" s="125">
        <f t="shared" ref="G50" si="13">F50-E50</f>
        <v>158.80000000000001</v>
      </c>
      <c r="H50" s="117">
        <f t="shared" ref="H50" si="14">(F50/E50)*100</f>
        <v>141.97726671953475</v>
      </c>
      <c r="J50" s="222"/>
      <c r="K50" s="229"/>
      <c r="L50" s="233"/>
      <c r="M50" s="28"/>
    </row>
    <row r="51" spans="1:13" ht="20.100000000000001" customHeight="1">
      <c r="A51" s="115" t="s">
        <v>282</v>
      </c>
      <c r="B51" s="108">
        <v>3195</v>
      </c>
      <c r="C51" s="150">
        <v>-1160.6000000000022</v>
      </c>
      <c r="D51" s="150">
        <f>D7-D24</f>
        <v>213.60000000000036</v>
      </c>
      <c r="E51" s="150">
        <f>E7-E24</f>
        <v>-9.0999999999967258</v>
      </c>
      <c r="F51" s="150">
        <f>F7-F24</f>
        <v>213.60000000000036</v>
      </c>
      <c r="G51" s="165">
        <f t="shared" si="2"/>
        <v>222.69999999999709</v>
      </c>
      <c r="H51" s="118">
        <f t="shared" si="3"/>
        <v>-2347.2527472535958</v>
      </c>
      <c r="J51" s="150"/>
      <c r="K51" s="150"/>
      <c r="L51" s="150"/>
      <c r="M51" s="28"/>
    </row>
    <row r="52" spans="1:13" ht="20.100000000000001" customHeight="1">
      <c r="A52" s="123" t="s">
        <v>286</v>
      </c>
      <c r="B52" s="106"/>
      <c r="C52" s="177"/>
      <c r="D52" s="177"/>
      <c r="E52" s="177"/>
      <c r="F52" s="177"/>
      <c r="G52" s="137"/>
      <c r="H52" s="117"/>
      <c r="J52" s="177"/>
      <c r="K52" s="177"/>
      <c r="L52" s="177"/>
      <c r="M52" s="28"/>
    </row>
    <row r="53" spans="1:13" ht="20.100000000000001" customHeight="1">
      <c r="A53" s="114" t="s">
        <v>259</v>
      </c>
      <c r="B53" s="105">
        <v>3200</v>
      </c>
      <c r="C53" s="150">
        <v>0</v>
      </c>
      <c r="D53" s="150">
        <f>SUM(D54:D60)</f>
        <v>0</v>
      </c>
      <c r="E53" s="150">
        <f>SUM(E54:E60)</f>
        <v>0</v>
      </c>
      <c r="F53" s="150">
        <f>SUM(F54:F60)</f>
        <v>0</v>
      </c>
      <c r="G53" s="165">
        <f t="shared" si="2"/>
        <v>0</v>
      </c>
      <c r="H53" s="118"/>
      <c r="J53" s="150"/>
      <c r="K53" s="150"/>
      <c r="L53" s="150"/>
      <c r="M53" s="28"/>
    </row>
    <row r="54" spans="1:13" ht="20.100000000000001" customHeight="1">
      <c r="A54" s="8" t="s">
        <v>531</v>
      </c>
      <c r="B54" s="6">
        <v>3210</v>
      </c>
      <c r="C54" s="198"/>
      <c r="D54" s="201"/>
      <c r="E54" s="137"/>
      <c r="F54" s="137"/>
      <c r="G54" s="137"/>
      <c r="H54" s="117"/>
      <c r="J54" s="222"/>
      <c r="K54" s="229"/>
      <c r="L54" s="233"/>
      <c r="M54" s="28"/>
    </row>
    <row r="55" spans="1:13" ht="20.100000000000001" customHeight="1">
      <c r="A55" s="8" t="s">
        <v>532</v>
      </c>
      <c r="B55" s="9">
        <v>3215</v>
      </c>
      <c r="C55" s="198"/>
      <c r="D55" s="201"/>
      <c r="E55" s="137"/>
      <c r="F55" s="137"/>
      <c r="G55" s="137"/>
      <c r="H55" s="117"/>
      <c r="J55" s="222"/>
      <c r="K55" s="229"/>
      <c r="L55" s="233"/>
      <c r="M55" s="28"/>
    </row>
    <row r="56" spans="1:13" ht="20.100000000000001" customHeight="1">
      <c r="A56" s="8" t="s">
        <v>533</v>
      </c>
      <c r="B56" s="9">
        <v>3220</v>
      </c>
      <c r="C56" s="198"/>
      <c r="D56" s="201"/>
      <c r="E56" s="137"/>
      <c r="F56" s="137"/>
      <c r="G56" s="137"/>
      <c r="H56" s="117"/>
      <c r="J56" s="222"/>
      <c r="K56" s="229"/>
      <c r="L56" s="233"/>
      <c r="M56" s="28"/>
    </row>
    <row r="57" spans="1:13" s="138" customFormat="1" ht="20.100000000000001" customHeight="1">
      <c r="A57" s="261" t="s">
        <v>534</v>
      </c>
      <c r="B57" s="9">
        <v>3225</v>
      </c>
      <c r="C57" s="257"/>
      <c r="D57" s="257"/>
      <c r="E57" s="257"/>
      <c r="F57" s="257"/>
      <c r="G57" s="257"/>
      <c r="H57" s="117"/>
      <c r="J57" s="257"/>
      <c r="K57" s="257"/>
      <c r="L57" s="257"/>
      <c r="M57" s="28"/>
    </row>
    <row r="58" spans="1:13" s="138" customFormat="1" ht="20.100000000000001" customHeight="1">
      <c r="A58" s="261" t="s">
        <v>535</v>
      </c>
      <c r="B58" s="9">
        <v>3230</v>
      </c>
      <c r="C58" s="257"/>
      <c r="D58" s="257"/>
      <c r="E58" s="257"/>
      <c r="F58" s="257"/>
      <c r="G58" s="257"/>
      <c r="H58" s="117"/>
      <c r="J58" s="257"/>
      <c r="K58" s="257"/>
      <c r="L58" s="257"/>
      <c r="M58" s="28"/>
    </row>
    <row r="59" spans="1:13" s="138" customFormat="1" ht="20.100000000000001" customHeight="1">
      <c r="A59" s="261" t="s">
        <v>536</v>
      </c>
      <c r="B59" s="9">
        <v>3235</v>
      </c>
      <c r="C59" s="257"/>
      <c r="D59" s="257"/>
      <c r="E59" s="257"/>
      <c r="F59" s="257"/>
      <c r="G59" s="257"/>
      <c r="H59" s="117"/>
      <c r="J59" s="257"/>
      <c r="K59" s="257"/>
      <c r="L59" s="257"/>
      <c r="M59" s="28"/>
    </row>
    <row r="60" spans="1:13" ht="20.100000000000001" customHeight="1">
      <c r="A60" s="8" t="s">
        <v>395</v>
      </c>
      <c r="B60" s="9">
        <v>3240</v>
      </c>
      <c r="C60" s="198"/>
      <c r="D60" s="201"/>
      <c r="E60" s="137"/>
      <c r="F60" s="137"/>
      <c r="G60" s="137"/>
      <c r="H60" s="117"/>
      <c r="J60" s="222"/>
      <c r="K60" s="229"/>
      <c r="L60" s="233"/>
      <c r="M60" s="28"/>
    </row>
    <row r="61" spans="1:13" ht="20.100000000000001" customHeight="1">
      <c r="A61" s="10" t="s">
        <v>537</v>
      </c>
      <c r="B61" s="11">
        <v>3255</v>
      </c>
      <c r="C61" s="150">
        <v>0</v>
      </c>
      <c r="D61" s="150">
        <f>D64+D67</f>
        <v>280.79999999999995</v>
      </c>
      <c r="E61" s="150">
        <f>E64+E69</f>
        <v>441.6</v>
      </c>
      <c r="F61" s="150">
        <f>F64+F67</f>
        <v>280.79999999999995</v>
      </c>
      <c r="G61" s="165">
        <f t="shared" si="2"/>
        <v>-160.80000000000007</v>
      </c>
      <c r="H61" s="118">
        <f t="shared" si="3"/>
        <v>63.586956521739111</v>
      </c>
      <c r="J61" s="150"/>
      <c r="K61" s="150"/>
      <c r="L61" s="150"/>
      <c r="M61" s="28"/>
    </row>
    <row r="62" spans="1:13" s="138" customFormat="1" ht="20.100000000000001" customHeight="1">
      <c r="A62" s="261" t="s">
        <v>538</v>
      </c>
      <c r="B62" s="9">
        <v>3260</v>
      </c>
      <c r="C62" s="150"/>
      <c r="D62" s="150"/>
      <c r="E62" s="150"/>
      <c r="F62" s="150"/>
      <c r="G62" s="165"/>
      <c r="H62" s="118"/>
      <c r="J62" s="150"/>
      <c r="K62" s="150"/>
      <c r="L62" s="150"/>
      <c r="M62" s="28"/>
    </row>
    <row r="63" spans="1:13" ht="20.100000000000001" customHeight="1">
      <c r="A63" s="8" t="s">
        <v>539</v>
      </c>
      <c r="B63" s="9">
        <v>3265</v>
      </c>
      <c r="C63" s="198"/>
      <c r="D63" s="233"/>
      <c r="E63" s="143"/>
      <c r="F63" s="143"/>
      <c r="G63" s="137"/>
      <c r="H63" s="117"/>
      <c r="J63" s="222"/>
      <c r="K63" s="229"/>
      <c r="L63" s="233"/>
      <c r="M63" s="28"/>
    </row>
    <row r="64" spans="1:13" s="138" customFormat="1" ht="20.100000000000001" customHeight="1">
      <c r="A64" s="261" t="s">
        <v>540</v>
      </c>
      <c r="B64" s="9">
        <v>3270</v>
      </c>
      <c r="C64" s="257">
        <v>0</v>
      </c>
      <c r="D64" s="257">
        <f>F64</f>
        <v>280.79999999999995</v>
      </c>
      <c r="E64" s="257">
        <v>192</v>
      </c>
      <c r="F64" s="257">
        <f>'IV. Кап. інвестиції'!F8*1.2+'IV. Кап. інвестиції'!F9*1.2</f>
        <v>280.79999999999995</v>
      </c>
      <c r="G64" s="257"/>
      <c r="H64" s="117"/>
      <c r="J64" s="257"/>
      <c r="K64" s="257"/>
      <c r="L64" s="257"/>
      <c r="M64" s="28"/>
    </row>
    <row r="65" spans="1:13" ht="20.100000000000001" customHeight="1">
      <c r="A65" s="8" t="s">
        <v>541</v>
      </c>
      <c r="B65" s="9" t="s">
        <v>542</v>
      </c>
      <c r="C65" s="198"/>
      <c r="D65" s="229"/>
      <c r="E65" s="143"/>
      <c r="F65" s="143"/>
      <c r="G65" s="137">
        <f t="shared" si="2"/>
        <v>0</v>
      </c>
      <c r="H65" s="117"/>
      <c r="J65" s="222"/>
      <c r="K65" s="229"/>
      <c r="L65" s="233"/>
      <c r="M65" s="28"/>
    </row>
    <row r="66" spans="1:13" ht="20.100000000000001" customHeight="1">
      <c r="A66" s="8" t="s">
        <v>543</v>
      </c>
      <c r="B66" s="9" t="s">
        <v>544</v>
      </c>
      <c r="C66" s="198"/>
      <c r="D66" s="233"/>
      <c r="E66" s="143"/>
      <c r="F66" s="143"/>
      <c r="G66" s="137"/>
      <c r="H66" s="117"/>
      <c r="J66" s="222"/>
      <c r="K66" s="229"/>
      <c r="L66" s="233"/>
      <c r="M66" s="28"/>
    </row>
    <row r="67" spans="1:13" ht="20.100000000000001" customHeight="1">
      <c r="A67" s="8" t="s">
        <v>545</v>
      </c>
      <c r="B67" s="9" t="s">
        <v>546</v>
      </c>
      <c r="C67" s="198">
        <v>0</v>
      </c>
      <c r="D67" s="233">
        <f>F67</f>
        <v>0</v>
      </c>
      <c r="E67" s="143"/>
      <c r="F67" s="143"/>
      <c r="G67" s="137"/>
      <c r="H67" s="117"/>
      <c r="J67" s="222"/>
      <c r="K67" s="229"/>
      <c r="L67" s="233"/>
      <c r="M67" s="28"/>
    </row>
    <row r="68" spans="1:13">
      <c r="A68" s="261" t="s">
        <v>547</v>
      </c>
      <c r="B68" s="256">
        <v>3280</v>
      </c>
      <c r="M68" s="28"/>
    </row>
    <row r="69" spans="1:13" ht="20.100000000000001" customHeight="1">
      <c r="A69" s="8" t="s">
        <v>548</v>
      </c>
      <c r="B69" s="9">
        <v>3290</v>
      </c>
      <c r="C69" s="198"/>
      <c r="D69" s="233"/>
      <c r="E69" s="143">
        <v>249.6</v>
      </c>
      <c r="F69" s="143"/>
      <c r="G69" s="137">
        <f t="shared" si="2"/>
        <v>-249.6</v>
      </c>
      <c r="H69" s="117"/>
      <c r="J69" s="222"/>
      <c r="K69" s="229"/>
      <c r="L69" s="233"/>
      <c r="M69" s="28"/>
    </row>
    <row r="70" spans="1:13" ht="20.100000000000001" customHeight="1">
      <c r="A70" s="116" t="s">
        <v>119</v>
      </c>
      <c r="B70" s="108">
        <v>3295</v>
      </c>
      <c r="C70" s="150">
        <v>0</v>
      </c>
      <c r="D70" s="150">
        <f>D53-D61</f>
        <v>-280.79999999999995</v>
      </c>
      <c r="E70" s="150">
        <f>E53-E61</f>
        <v>-441.6</v>
      </c>
      <c r="F70" s="150">
        <f>F53-F61</f>
        <v>-280.79999999999995</v>
      </c>
      <c r="G70" s="165">
        <f t="shared" si="2"/>
        <v>160.80000000000007</v>
      </c>
      <c r="H70" s="118">
        <f t="shared" si="3"/>
        <v>63.586956521739111</v>
      </c>
      <c r="J70" s="150"/>
      <c r="K70" s="150"/>
      <c r="L70" s="150"/>
      <c r="M70" s="28"/>
    </row>
    <row r="71" spans="1:13" ht="20.100000000000001" customHeight="1">
      <c r="A71" s="123" t="s">
        <v>287</v>
      </c>
      <c r="B71" s="106"/>
      <c r="C71" s="177"/>
      <c r="D71" s="177"/>
      <c r="E71" s="177"/>
      <c r="F71" s="177"/>
      <c r="G71" s="137">
        <f t="shared" si="2"/>
        <v>0</v>
      </c>
      <c r="H71" s="117"/>
      <c r="J71" s="177"/>
      <c r="K71" s="177"/>
      <c r="L71" s="177"/>
      <c r="M71" s="28"/>
    </row>
    <row r="72" spans="1:13" ht="20.100000000000001" customHeight="1">
      <c r="A72" s="10" t="s">
        <v>260</v>
      </c>
      <c r="B72" s="11">
        <v>3300</v>
      </c>
      <c r="C72" s="150">
        <v>0</v>
      </c>
      <c r="D72" s="150">
        <f>SUM(D73,D74,D78)</f>
        <v>0</v>
      </c>
      <c r="E72" s="150">
        <f>SUM(E73,E74,E78)</f>
        <v>0</v>
      </c>
      <c r="F72" s="150">
        <f>SUM(F73,F74,F78)</f>
        <v>0</v>
      </c>
      <c r="G72" s="165">
        <f t="shared" si="2"/>
        <v>0</v>
      </c>
      <c r="H72" s="118"/>
      <c r="J72" s="150"/>
      <c r="K72" s="150"/>
      <c r="L72" s="150"/>
      <c r="M72" s="28"/>
    </row>
    <row r="73" spans="1:13" ht="20.100000000000001" customHeight="1">
      <c r="A73" s="8" t="s">
        <v>280</v>
      </c>
      <c r="B73" s="9">
        <v>3305</v>
      </c>
      <c r="C73" s="198"/>
      <c r="D73" s="201"/>
      <c r="E73" s="137"/>
      <c r="F73" s="137"/>
      <c r="G73" s="137">
        <f t="shared" si="2"/>
        <v>0</v>
      </c>
      <c r="H73" s="117"/>
      <c r="J73" s="222"/>
      <c r="K73" s="229"/>
      <c r="L73" s="233"/>
      <c r="M73" s="28"/>
    </row>
    <row r="74" spans="1:13" ht="20.100000000000001" customHeight="1">
      <c r="A74" s="8" t="s">
        <v>268</v>
      </c>
      <c r="B74" s="9">
        <v>3310</v>
      </c>
      <c r="C74" s="127">
        <v>0</v>
      </c>
      <c r="D74" s="127">
        <f>SUM(D75:D77)</f>
        <v>0</v>
      </c>
      <c r="E74" s="127">
        <f>SUM(E75:E77)</f>
        <v>0</v>
      </c>
      <c r="F74" s="127">
        <f>SUM(F75:F77)</f>
        <v>0</v>
      </c>
      <c r="G74" s="137">
        <f t="shared" si="2"/>
        <v>0</v>
      </c>
      <c r="H74" s="117"/>
      <c r="J74" s="127"/>
      <c r="K74" s="127"/>
      <c r="L74" s="127"/>
      <c r="M74" s="28"/>
    </row>
    <row r="75" spans="1:13" ht="20.100000000000001" customHeight="1">
      <c r="A75" s="8" t="s">
        <v>78</v>
      </c>
      <c r="B75" s="6">
        <v>3311</v>
      </c>
      <c r="C75" s="198"/>
      <c r="D75" s="201"/>
      <c r="E75" s="137"/>
      <c r="F75" s="137"/>
      <c r="G75" s="137">
        <f t="shared" si="2"/>
        <v>0</v>
      </c>
      <c r="H75" s="117"/>
      <c r="J75" s="222"/>
      <c r="K75" s="229"/>
      <c r="L75" s="233"/>
      <c r="M75" s="28"/>
    </row>
    <row r="76" spans="1:13" ht="20.100000000000001" customHeight="1">
      <c r="A76" s="8" t="s">
        <v>81</v>
      </c>
      <c r="B76" s="6">
        <v>3312</v>
      </c>
      <c r="C76" s="198"/>
      <c r="D76" s="201"/>
      <c r="E76" s="137"/>
      <c r="F76" s="137"/>
      <c r="G76" s="137">
        <f t="shared" si="2"/>
        <v>0</v>
      </c>
      <c r="H76" s="117"/>
      <c r="J76" s="222"/>
      <c r="K76" s="229"/>
      <c r="L76" s="233"/>
      <c r="M76" s="28"/>
    </row>
    <row r="77" spans="1:13" ht="20.100000000000001" customHeight="1">
      <c r="A77" s="8" t="s">
        <v>101</v>
      </c>
      <c r="B77" s="6">
        <v>3313</v>
      </c>
      <c r="C77" s="198"/>
      <c r="D77" s="201"/>
      <c r="E77" s="137"/>
      <c r="F77" s="137"/>
      <c r="G77" s="137">
        <f t="shared" si="2"/>
        <v>0</v>
      </c>
      <c r="H77" s="117"/>
      <c r="J77" s="222"/>
      <c r="K77" s="229"/>
      <c r="L77" s="233"/>
      <c r="M77" s="28"/>
    </row>
    <row r="78" spans="1:13" ht="20.100000000000001" customHeight="1">
      <c r="A78" s="8" t="s">
        <v>395</v>
      </c>
      <c r="B78" s="9">
        <v>3320</v>
      </c>
      <c r="C78" s="198"/>
      <c r="D78" s="201"/>
      <c r="E78" s="137"/>
      <c r="F78" s="137"/>
      <c r="G78" s="137">
        <f t="shared" si="2"/>
        <v>0</v>
      </c>
      <c r="H78" s="117"/>
      <c r="J78" s="222"/>
      <c r="K78" s="229"/>
      <c r="L78" s="233"/>
      <c r="M78" s="28"/>
    </row>
    <row r="79" spans="1:13" ht="20.100000000000001" customHeight="1">
      <c r="A79" s="10" t="s">
        <v>272</v>
      </c>
      <c r="B79" s="11">
        <v>3330</v>
      </c>
      <c r="C79" s="150">
        <v>0</v>
      </c>
      <c r="D79" s="150">
        <f>SUM(D80,D81,D85,D88)</f>
        <v>0</v>
      </c>
      <c r="E79" s="150">
        <f>SUM(E80,E81,E85,E88)</f>
        <v>0</v>
      </c>
      <c r="F79" s="150">
        <f>SUM(F80,F81,F85,F88)</f>
        <v>0</v>
      </c>
      <c r="G79" s="165">
        <f t="shared" si="2"/>
        <v>0</v>
      </c>
      <c r="H79" s="118"/>
      <c r="J79" s="150"/>
      <c r="K79" s="150"/>
      <c r="L79" s="150"/>
      <c r="M79" s="28"/>
    </row>
    <row r="80" spans="1:13" ht="20.100000000000001" customHeight="1">
      <c r="A80" s="8" t="s">
        <v>281</v>
      </c>
      <c r="B80" s="9">
        <v>3335</v>
      </c>
      <c r="C80" s="198" t="s">
        <v>227</v>
      </c>
      <c r="D80" s="201" t="s">
        <v>227</v>
      </c>
      <c r="E80" s="137" t="s">
        <v>227</v>
      </c>
      <c r="F80" s="137" t="s">
        <v>227</v>
      </c>
      <c r="G80" s="137"/>
      <c r="H80" s="117"/>
      <c r="J80" s="222"/>
      <c r="K80" s="229"/>
      <c r="L80" s="233"/>
      <c r="M80" s="28"/>
    </row>
    <row r="81" spans="1:13" ht="20.100000000000001" customHeight="1">
      <c r="A81" s="8" t="s">
        <v>270</v>
      </c>
      <c r="B81" s="6">
        <v>3340</v>
      </c>
      <c r="C81" s="127">
        <v>0</v>
      </c>
      <c r="D81" s="127">
        <f>SUM(D82:D84)</f>
        <v>0</v>
      </c>
      <c r="E81" s="127">
        <f>SUM(E82:E84)</f>
        <v>0</v>
      </c>
      <c r="F81" s="127">
        <f>SUM(F82:F84)</f>
        <v>0</v>
      </c>
      <c r="G81" s="137"/>
      <c r="H81" s="117"/>
      <c r="J81" s="127"/>
      <c r="K81" s="127"/>
      <c r="L81" s="127"/>
      <c r="M81" s="28"/>
    </row>
    <row r="82" spans="1:13" ht="15.6" customHeight="1">
      <c r="A82" s="8" t="s">
        <v>78</v>
      </c>
      <c r="B82" s="6">
        <v>3341</v>
      </c>
      <c r="C82" s="198" t="s">
        <v>227</v>
      </c>
      <c r="D82" s="201" t="s">
        <v>227</v>
      </c>
      <c r="E82" s="137" t="s">
        <v>227</v>
      </c>
      <c r="F82" s="137" t="s">
        <v>227</v>
      </c>
      <c r="G82" s="137"/>
      <c r="H82" s="117"/>
      <c r="J82" s="222"/>
      <c r="K82" s="229"/>
      <c r="L82" s="233"/>
      <c r="M82" s="28"/>
    </row>
    <row r="83" spans="1:13" ht="17.7" customHeight="1">
      <c r="A83" s="8" t="s">
        <v>81</v>
      </c>
      <c r="B83" s="6">
        <v>3342</v>
      </c>
      <c r="C83" s="198" t="s">
        <v>227</v>
      </c>
      <c r="D83" s="201" t="s">
        <v>227</v>
      </c>
      <c r="E83" s="137" t="s">
        <v>227</v>
      </c>
      <c r="F83" s="137" t="s">
        <v>227</v>
      </c>
      <c r="G83" s="137"/>
      <c r="H83" s="117"/>
      <c r="J83" s="222"/>
      <c r="K83" s="229"/>
      <c r="L83" s="233"/>
      <c r="M83" s="28"/>
    </row>
    <row r="84" spans="1:13" ht="14.55" customHeight="1">
      <c r="A84" s="8" t="s">
        <v>101</v>
      </c>
      <c r="B84" s="6">
        <v>3343</v>
      </c>
      <c r="C84" s="198" t="s">
        <v>227</v>
      </c>
      <c r="D84" s="201" t="s">
        <v>227</v>
      </c>
      <c r="E84" s="137" t="s">
        <v>227</v>
      </c>
      <c r="F84" s="137" t="s">
        <v>227</v>
      </c>
      <c r="G84" s="137"/>
      <c r="H84" s="117"/>
      <c r="J84" s="222"/>
      <c r="K84" s="229"/>
      <c r="L84" s="233"/>
      <c r="M84" s="28"/>
    </row>
    <row r="85" spans="1:13" ht="20.100000000000001" customHeight="1">
      <c r="A85" s="8" t="s">
        <v>267</v>
      </c>
      <c r="B85" s="6">
        <v>3350</v>
      </c>
      <c r="C85" s="198" t="s">
        <v>227</v>
      </c>
      <c r="D85" s="201" t="s">
        <v>227</v>
      </c>
      <c r="E85" s="137" t="s">
        <v>227</v>
      </c>
      <c r="F85" s="137" t="s">
        <v>227</v>
      </c>
      <c r="G85" s="137"/>
      <c r="H85" s="117"/>
      <c r="J85" s="222"/>
      <c r="K85" s="229"/>
      <c r="L85" s="233"/>
      <c r="M85" s="28"/>
    </row>
    <row r="86" spans="1:13" s="138" customFormat="1" ht="20.100000000000001" customHeight="1">
      <c r="A86" s="261" t="s">
        <v>549</v>
      </c>
      <c r="B86" s="258">
        <v>3360</v>
      </c>
      <c r="C86" s="257"/>
      <c r="D86" s="257"/>
      <c r="E86" s="257"/>
      <c r="F86" s="257"/>
      <c r="G86" s="257"/>
      <c r="H86" s="117"/>
      <c r="J86" s="257"/>
      <c r="K86" s="257"/>
      <c r="L86" s="257"/>
      <c r="M86" s="28"/>
    </row>
    <row r="87" spans="1:13" s="138" customFormat="1" ht="20.100000000000001" customHeight="1">
      <c r="A87" s="261" t="s">
        <v>550</v>
      </c>
      <c r="B87" s="258">
        <v>3370</v>
      </c>
      <c r="C87" s="257"/>
      <c r="D87" s="257"/>
      <c r="E87" s="257"/>
      <c r="F87" s="257"/>
      <c r="G87" s="257"/>
      <c r="H87" s="117"/>
      <c r="J87" s="257"/>
      <c r="K87" s="257"/>
      <c r="L87" s="257"/>
      <c r="M87" s="28"/>
    </row>
    <row r="88" spans="1:13" ht="20.100000000000001" customHeight="1">
      <c r="A88" s="8" t="s">
        <v>548</v>
      </c>
      <c r="B88" s="9">
        <v>3380</v>
      </c>
      <c r="C88" s="198" t="s">
        <v>227</v>
      </c>
      <c r="D88" s="201" t="s">
        <v>227</v>
      </c>
      <c r="E88" s="137" t="s">
        <v>227</v>
      </c>
      <c r="F88" s="137"/>
      <c r="G88" s="137"/>
      <c r="H88" s="117"/>
      <c r="J88" s="222"/>
      <c r="K88" s="229"/>
      <c r="L88" s="233"/>
      <c r="M88" s="28"/>
    </row>
    <row r="89" spans="1:13" ht="20.100000000000001" customHeight="1">
      <c r="A89" s="10" t="s">
        <v>120</v>
      </c>
      <c r="B89" s="11">
        <v>3395</v>
      </c>
      <c r="C89" s="150">
        <v>0</v>
      </c>
      <c r="D89" s="150">
        <f>SUM(D72,D79)</f>
        <v>0</v>
      </c>
      <c r="E89" s="150">
        <f>SUM(E72,E79)</f>
        <v>0</v>
      </c>
      <c r="F89" s="150">
        <f>SUM(F72,F79)</f>
        <v>0</v>
      </c>
      <c r="G89" s="165"/>
      <c r="H89" s="118"/>
      <c r="J89" s="150"/>
      <c r="K89" s="150"/>
      <c r="L89" s="150"/>
      <c r="M89" s="28"/>
    </row>
    <row r="90" spans="1:13" ht="20.100000000000001" customHeight="1">
      <c r="A90" s="124" t="s">
        <v>551</v>
      </c>
      <c r="B90" s="11">
        <v>3400</v>
      </c>
      <c r="C90" s="150">
        <v>-1160.6000000000022</v>
      </c>
      <c r="D90" s="150">
        <f>D7-D24-D61</f>
        <v>-67.199999999999591</v>
      </c>
      <c r="E90" s="150">
        <f>E7-E24-E61</f>
        <v>-450.69999999999675</v>
      </c>
      <c r="F90" s="150">
        <f>F7-F24-F61</f>
        <v>-67.199999999999591</v>
      </c>
      <c r="G90" s="165">
        <f t="shared" si="2"/>
        <v>383.49999999999716</v>
      </c>
      <c r="H90" s="118">
        <f t="shared" si="3"/>
        <v>14.910139782560478</v>
      </c>
      <c r="J90" s="150"/>
      <c r="K90" s="150"/>
      <c r="L90" s="150"/>
    </row>
    <row r="91" spans="1:13" ht="20.100000000000001" customHeight="1">
      <c r="A91" s="8" t="s">
        <v>288</v>
      </c>
      <c r="B91" s="9">
        <v>3405</v>
      </c>
      <c r="C91" s="198">
        <v>1165.0999999999999</v>
      </c>
      <c r="D91" s="233">
        <f>F91</f>
        <v>994.6</v>
      </c>
      <c r="E91" s="137">
        <v>1359</v>
      </c>
      <c r="F91" s="286">
        <v>994.6</v>
      </c>
      <c r="G91" s="137">
        <f t="shared" si="2"/>
        <v>-364.4</v>
      </c>
      <c r="H91" s="117">
        <f t="shared" si="3"/>
        <v>73.186166298749072</v>
      </c>
      <c r="J91" s="222"/>
      <c r="K91" s="229"/>
      <c r="L91" s="233"/>
    </row>
    <row r="92" spans="1:13" ht="20.100000000000001" customHeight="1">
      <c r="A92" s="76" t="s">
        <v>122</v>
      </c>
      <c r="B92" s="9">
        <v>3410</v>
      </c>
      <c r="C92" s="198"/>
      <c r="D92" s="201"/>
      <c r="E92" s="137"/>
      <c r="F92" s="286"/>
      <c r="G92" s="137"/>
      <c r="H92" s="117"/>
      <c r="J92" s="222"/>
      <c r="K92" s="229"/>
      <c r="L92" s="233"/>
    </row>
    <row r="93" spans="1:13" ht="20.100000000000001" customHeight="1">
      <c r="A93" s="8" t="s">
        <v>289</v>
      </c>
      <c r="B93" s="9">
        <v>3415</v>
      </c>
      <c r="C93" s="150">
        <v>4.4999999999977263</v>
      </c>
      <c r="D93" s="150">
        <f>SUM(D91,D90,D92)</f>
        <v>927.40000000000043</v>
      </c>
      <c r="E93" s="150">
        <f>SUM(E91,E90,E92)</f>
        <v>908.30000000000325</v>
      </c>
      <c r="F93" s="150">
        <f>SUM(F91,F90,F92)</f>
        <v>927.40000000000043</v>
      </c>
      <c r="G93" s="137">
        <f t="shared" si="2"/>
        <v>19.099999999997181</v>
      </c>
      <c r="H93" s="117">
        <f t="shared" si="3"/>
        <v>102.1028294616313</v>
      </c>
      <c r="J93" s="150"/>
      <c r="K93" s="150"/>
      <c r="L93" s="150"/>
    </row>
    <row r="94" spans="1:13" s="15" customFormat="1" ht="24.15" customHeight="1">
      <c r="A94" s="2"/>
      <c r="B94" s="31"/>
      <c r="C94" s="178"/>
      <c r="D94" s="178"/>
      <c r="E94" s="178"/>
      <c r="F94" s="178"/>
      <c r="G94" s="178"/>
      <c r="H94" s="31"/>
      <c r="J94" s="178"/>
      <c r="K94" s="178"/>
      <c r="L94" s="178"/>
    </row>
    <row r="95" spans="1:13" s="134" customFormat="1" ht="27.75" customHeight="1">
      <c r="A95" s="50" t="s">
        <v>492</v>
      </c>
      <c r="B95" s="1"/>
      <c r="C95" s="362" t="s">
        <v>89</v>
      </c>
      <c r="D95" s="362"/>
      <c r="E95" s="69"/>
      <c r="F95" s="363" t="s">
        <v>493</v>
      </c>
      <c r="G95" s="363"/>
      <c r="H95" s="363"/>
    </row>
    <row r="96" spans="1:13" s="138" customFormat="1">
      <c r="A96" s="132" t="s">
        <v>212</v>
      </c>
      <c r="B96" s="134"/>
      <c r="C96" s="364" t="s">
        <v>211</v>
      </c>
      <c r="D96" s="364"/>
      <c r="E96" s="155"/>
      <c r="F96" s="365" t="s">
        <v>85</v>
      </c>
      <c r="G96" s="365"/>
      <c r="H96" s="365"/>
    </row>
  </sheetData>
  <mergeCells count="9">
    <mergeCell ref="C96:D96"/>
    <mergeCell ref="A1:H1"/>
    <mergeCell ref="A3:A4"/>
    <mergeCell ref="B3:B4"/>
    <mergeCell ref="C3:D3"/>
    <mergeCell ref="E3:H3"/>
    <mergeCell ref="F96:H96"/>
    <mergeCell ref="C95:D95"/>
    <mergeCell ref="F95:H95"/>
  </mergeCells>
  <phoneticPr fontId="3" type="noConversion"/>
  <pageMargins left="1.1811023622047245" right="0.39370078740157483" top="0.39370078740157483" bottom="0.39370078740157483" header="0.19685039370078741" footer="0.23622047244094491"/>
  <pageSetup paperSize="9" scale="57" orientation="landscape" r:id="rId1"/>
  <headerFooter alignWithMargins="0">
    <oddHeader xml:space="preserve">&amp;C
&amp;"Times New Roman,обычный"&amp;14 9&amp;R&amp;"Times New Roman,обычный"&amp;14Продовження додатка 3
Таблиця 3
</oddHeader>
  </headerFooter>
  <ignoredErrors>
    <ignoredError sqref="H23:H24 G51:H51 H7:H8 G25:H26 H38 G37:H37 G35:G36 G32:H32 G28:G31 G34:H34 G33 G53 G65 G70:H70 G90:H91 G71:G79 G93:H93 G61:H61 G6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83"/>
  <sheetViews>
    <sheetView zoomScale="50" zoomScaleNormal="50" zoomScaleSheetLayoutView="55" workbookViewId="0">
      <selection activeCell="V14" sqref="V14"/>
    </sheetView>
  </sheetViews>
  <sheetFormatPr defaultColWidth="9.109375" defaultRowHeight="18"/>
  <cols>
    <col min="1" max="1" width="82.33203125" style="278" customWidth="1"/>
    <col min="2" max="2" width="9.88671875" style="272" customWidth="1"/>
    <col min="3" max="7" width="25.6640625" style="272" customWidth="1"/>
    <col min="8" max="8" width="21.109375" style="272" customWidth="1"/>
    <col min="9" max="9" width="9.5546875" style="278" customWidth="1"/>
    <col min="10" max="12" width="25.6640625" style="272" hidden="1" customWidth="1"/>
    <col min="13" max="16384" width="9.109375" style="278"/>
  </cols>
  <sheetData>
    <row r="1" spans="1:15">
      <c r="A1" s="379" t="s">
        <v>145</v>
      </c>
      <c r="B1" s="379"/>
      <c r="C1" s="379"/>
      <c r="D1" s="379"/>
      <c r="E1" s="379"/>
      <c r="F1" s="379"/>
      <c r="G1" s="379"/>
      <c r="H1" s="379"/>
      <c r="J1" s="278"/>
      <c r="K1" s="278"/>
      <c r="L1" s="278"/>
    </row>
    <row r="2" spans="1:15">
      <c r="A2" s="399"/>
      <c r="B2" s="399"/>
      <c r="C2" s="399"/>
      <c r="D2" s="399"/>
      <c r="E2" s="399"/>
      <c r="F2" s="399"/>
      <c r="G2" s="399"/>
      <c r="H2" s="399"/>
      <c r="J2" s="278"/>
      <c r="K2" s="278"/>
      <c r="L2" s="278"/>
    </row>
    <row r="3" spans="1:15" ht="43.5" customHeight="1">
      <c r="A3" s="397" t="s">
        <v>192</v>
      </c>
      <c r="B3" s="382" t="s">
        <v>18</v>
      </c>
      <c r="C3" s="382" t="s">
        <v>156</v>
      </c>
      <c r="D3" s="382"/>
      <c r="E3" s="381" t="s">
        <v>565</v>
      </c>
      <c r="F3" s="381"/>
      <c r="G3" s="381"/>
      <c r="H3" s="381"/>
      <c r="J3" s="223"/>
      <c r="K3" s="223"/>
      <c r="L3" s="223"/>
    </row>
    <row r="4" spans="1:15" ht="56.25" customHeight="1">
      <c r="A4" s="398"/>
      <c r="B4" s="382"/>
      <c r="C4" s="274" t="s">
        <v>179</v>
      </c>
      <c r="D4" s="274" t="s">
        <v>180</v>
      </c>
      <c r="E4" s="274" t="s">
        <v>181</v>
      </c>
      <c r="F4" s="274" t="s">
        <v>168</v>
      </c>
      <c r="G4" s="61" t="s">
        <v>187</v>
      </c>
      <c r="H4" s="61" t="s">
        <v>188</v>
      </c>
      <c r="J4" s="274"/>
      <c r="K4" s="274"/>
      <c r="L4" s="274"/>
    </row>
    <row r="5" spans="1:15" ht="15.75" customHeight="1">
      <c r="A5" s="275">
        <v>1</v>
      </c>
      <c r="B5" s="274">
        <v>2</v>
      </c>
      <c r="C5" s="274">
        <v>6</v>
      </c>
      <c r="D5" s="274">
        <v>4</v>
      </c>
      <c r="E5" s="275">
        <v>5</v>
      </c>
      <c r="F5" s="274">
        <v>6</v>
      </c>
      <c r="G5" s="275">
        <v>7</v>
      </c>
      <c r="H5" s="274">
        <v>8</v>
      </c>
      <c r="J5" s="274"/>
      <c r="K5" s="274"/>
      <c r="L5" s="274"/>
    </row>
    <row r="6" spans="1:15" s="279" customFormat="1" ht="34.799999999999997">
      <c r="A6" s="277" t="s">
        <v>70</v>
      </c>
      <c r="B6" s="56">
        <v>4000</v>
      </c>
      <c r="C6" s="165">
        <f>SUM(C7:C12)</f>
        <v>241</v>
      </c>
      <c r="D6" s="165">
        <f>SUM(D7:D12)</f>
        <v>234</v>
      </c>
      <c r="E6" s="165">
        <f>SUM(E7:E12)</f>
        <v>368</v>
      </c>
      <c r="F6" s="165">
        <f>SUM(F7:F12)</f>
        <v>234</v>
      </c>
      <c r="G6" s="165">
        <f>F6-E6</f>
        <v>-134</v>
      </c>
      <c r="H6" s="118">
        <f>(F6/E6)*100</f>
        <v>63.586956521739133</v>
      </c>
      <c r="J6" s="165"/>
      <c r="K6" s="165"/>
      <c r="L6" s="165"/>
    </row>
    <row r="7" spans="1:15" ht="20.100000000000001" customHeight="1">
      <c r="A7" s="280" t="s">
        <v>1</v>
      </c>
      <c r="B7" s="57" t="s">
        <v>150</v>
      </c>
      <c r="C7" s="273">
        <v>0</v>
      </c>
      <c r="D7" s="273">
        <f>F7+J7+K7+L7</f>
        <v>0</v>
      </c>
      <c r="E7" s="273">
        <v>0</v>
      </c>
      <c r="F7" s="273">
        <v>0</v>
      </c>
      <c r="G7" s="273">
        <f t="shared" ref="G7:G12" si="0">F7-E7</f>
        <v>0</v>
      </c>
      <c r="H7" s="117"/>
      <c r="J7" s="273"/>
      <c r="K7" s="273"/>
      <c r="L7" s="273"/>
    </row>
    <row r="8" spans="1:15" ht="20.100000000000001" customHeight="1">
      <c r="A8" s="280" t="s">
        <v>2</v>
      </c>
      <c r="B8" s="56">
        <v>4020</v>
      </c>
      <c r="C8" s="273">
        <v>68</v>
      </c>
      <c r="D8" s="273">
        <f t="shared" ref="D8:D12" si="1">F8+J8+K8+L8</f>
        <v>35</v>
      </c>
      <c r="E8" s="273">
        <v>208</v>
      </c>
      <c r="F8" s="273">
        <v>35</v>
      </c>
      <c r="G8" s="273">
        <f t="shared" si="0"/>
        <v>-173</v>
      </c>
      <c r="H8" s="117">
        <f t="shared" ref="H8:H9" si="2">(F8/E8)*100</f>
        <v>16.826923076923077</v>
      </c>
      <c r="J8" s="273"/>
      <c r="K8" s="273"/>
      <c r="L8" s="273"/>
      <c r="O8" s="21"/>
    </row>
    <row r="9" spans="1:15" ht="19.5" customHeight="1">
      <c r="A9" s="280" t="s">
        <v>30</v>
      </c>
      <c r="B9" s="57">
        <v>4030</v>
      </c>
      <c r="C9" s="273">
        <v>163</v>
      </c>
      <c r="D9" s="273">
        <f t="shared" si="1"/>
        <v>199</v>
      </c>
      <c r="E9" s="273">
        <v>160</v>
      </c>
      <c r="F9" s="273">
        <v>199</v>
      </c>
      <c r="G9" s="273">
        <f t="shared" si="0"/>
        <v>39</v>
      </c>
      <c r="H9" s="117">
        <f t="shared" si="2"/>
        <v>124.37499999999999</v>
      </c>
      <c r="J9" s="273"/>
      <c r="K9" s="273"/>
      <c r="L9" s="273"/>
      <c r="N9" s="21"/>
    </row>
    <row r="10" spans="1:15" ht="20.100000000000001" customHeight="1">
      <c r="A10" s="280" t="s">
        <v>3</v>
      </c>
      <c r="B10" s="56">
        <v>4040</v>
      </c>
      <c r="C10" s="273">
        <v>10</v>
      </c>
      <c r="D10" s="273">
        <f t="shared" si="1"/>
        <v>0</v>
      </c>
      <c r="E10" s="273">
        <v>0</v>
      </c>
      <c r="F10" s="273">
        <v>0</v>
      </c>
      <c r="G10" s="273">
        <f t="shared" si="0"/>
        <v>0</v>
      </c>
      <c r="H10" s="117"/>
      <c r="J10" s="273"/>
      <c r="K10" s="273"/>
      <c r="L10" s="273"/>
    </row>
    <row r="11" spans="1:15" ht="36">
      <c r="A11" s="280" t="s">
        <v>61</v>
      </c>
      <c r="B11" s="57">
        <v>4050</v>
      </c>
      <c r="C11" s="273">
        <v>0</v>
      </c>
      <c r="D11" s="273">
        <f t="shared" si="1"/>
        <v>0</v>
      </c>
      <c r="E11" s="273">
        <v>0</v>
      </c>
      <c r="F11" s="273">
        <v>0</v>
      </c>
      <c r="G11" s="273">
        <f t="shared" si="0"/>
        <v>0</v>
      </c>
      <c r="H11" s="117"/>
      <c r="J11" s="273"/>
      <c r="K11" s="273"/>
      <c r="L11" s="273"/>
    </row>
    <row r="12" spans="1:15">
      <c r="A12" s="280" t="s">
        <v>250</v>
      </c>
      <c r="B12" s="57">
        <v>4060</v>
      </c>
      <c r="C12" s="273">
        <v>0</v>
      </c>
      <c r="D12" s="273">
        <f t="shared" si="1"/>
        <v>0</v>
      </c>
      <c r="E12" s="273">
        <v>0</v>
      </c>
      <c r="F12" s="273">
        <v>0</v>
      </c>
      <c r="G12" s="273">
        <f t="shared" si="0"/>
        <v>0</v>
      </c>
      <c r="H12" s="117"/>
      <c r="J12" s="273"/>
      <c r="K12" s="273"/>
      <c r="L12" s="273"/>
    </row>
    <row r="13" spans="1:15">
      <c r="B13" s="278"/>
      <c r="C13" s="278"/>
      <c r="D13" s="278"/>
      <c r="E13" s="278"/>
      <c r="F13" s="278"/>
      <c r="G13" s="278"/>
      <c r="H13" s="278"/>
      <c r="J13" s="278"/>
      <c r="K13" s="278"/>
      <c r="L13" s="278"/>
    </row>
    <row r="14" spans="1:15">
      <c r="B14" s="278"/>
      <c r="C14" s="278"/>
      <c r="D14" s="278"/>
      <c r="E14" s="278"/>
      <c r="F14" s="278"/>
      <c r="G14" s="278"/>
      <c r="H14" s="278"/>
      <c r="J14" s="278"/>
      <c r="K14" s="278"/>
      <c r="L14" s="278"/>
    </row>
    <row r="15" spans="1:15" s="138" customFormat="1" ht="19.5" customHeight="1">
      <c r="A15" s="276"/>
      <c r="I15" s="278"/>
    </row>
    <row r="16" spans="1:15" ht="27.75" customHeight="1">
      <c r="A16" s="50" t="s">
        <v>492</v>
      </c>
      <c r="B16" s="1"/>
      <c r="C16" s="362" t="s">
        <v>89</v>
      </c>
      <c r="D16" s="362"/>
      <c r="E16" s="69"/>
      <c r="F16" s="363" t="s">
        <v>493</v>
      </c>
      <c r="G16" s="363"/>
      <c r="H16" s="363"/>
      <c r="J16" s="278"/>
      <c r="K16" s="278"/>
      <c r="L16" s="278"/>
    </row>
    <row r="17" spans="1:8" s="138" customFormat="1">
      <c r="A17" s="271" t="s">
        <v>212</v>
      </c>
      <c r="B17" s="278"/>
      <c r="C17" s="364" t="s">
        <v>211</v>
      </c>
      <c r="D17" s="364"/>
      <c r="E17" s="155"/>
      <c r="F17" s="365" t="s">
        <v>85</v>
      </c>
      <c r="G17" s="365"/>
      <c r="H17" s="365"/>
    </row>
    <row r="18" spans="1:8">
      <c r="A18" s="45"/>
    </row>
    <row r="19" spans="1:8">
      <c r="A19" s="45"/>
    </row>
    <row r="20" spans="1:8">
      <c r="A20" s="45"/>
    </row>
    <row r="21" spans="1:8">
      <c r="A21" s="45"/>
    </row>
    <row r="22" spans="1:8">
      <c r="A22" s="45"/>
    </row>
    <row r="23" spans="1:8">
      <c r="A23" s="45"/>
    </row>
    <row r="24" spans="1:8">
      <c r="A24" s="45"/>
    </row>
    <row r="25" spans="1:8">
      <c r="A25" s="45"/>
    </row>
    <row r="26" spans="1:8">
      <c r="A26" s="45"/>
    </row>
    <row r="27" spans="1:8">
      <c r="A27" s="45"/>
    </row>
    <row r="28" spans="1:8">
      <c r="A28" s="45"/>
    </row>
    <row r="29" spans="1:8">
      <c r="A29" s="45"/>
    </row>
    <row r="30" spans="1:8">
      <c r="A30" s="45"/>
    </row>
    <row r="31" spans="1:8">
      <c r="A31" s="45"/>
    </row>
    <row r="32" spans="1:8">
      <c r="A32" s="45"/>
    </row>
    <row r="33" spans="1:1">
      <c r="A33" s="45"/>
    </row>
    <row r="34" spans="1:1">
      <c r="A34" s="45"/>
    </row>
    <row r="35" spans="1:1">
      <c r="A35" s="45"/>
    </row>
    <row r="36" spans="1:1">
      <c r="A36" s="45"/>
    </row>
    <row r="37" spans="1:1">
      <c r="A37" s="45"/>
    </row>
    <row r="38" spans="1:1">
      <c r="A38" s="45"/>
    </row>
    <row r="39" spans="1:1">
      <c r="A39" s="45"/>
    </row>
    <row r="40" spans="1:1">
      <c r="A40" s="45"/>
    </row>
    <row r="41" spans="1:1">
      <c r="A41" s="45"/>
    </row>
    <row r="42" spans="1:1">
      <c r="A42" s="45"/>
    </row>
    <row r="43" spans="1:1">
      <c r="A43" s="45"/>
    </row>
    <row r="44" spans="1:1">
      <c r="A44" s="45"/>
    </row>
    <row r="45" spans="1:1">
      <c r="A45" s="45"/>
    </row>
    <row r="46" spans="1:1">
      <c r="A46" s="45"/>
    </row>
    <row r="47" spans="1:1">
      <c r="A47" s="45"/>
    </row>
    <row r="48" spans="1:1">
      <c r="A48" s="45"/>
    </row>
    <row r="49" spans="1:1">
      <c r="A49" s="45"/>
    </row>
    <row r="50" spans="1:1">
      <c r="A50" s="45"/>
    </row>
    <row r="51" spans="1:1">
      <c r="A51" s="45"/>
    </row>
    <row r="52" spans="1:1">
      <c r="A52" s="45"/>
    </row>
    <row r="53" spans="1:1">
      <c r="A53" s="45"/>
    </row>
    <row r="54" spans="1:1">
      <c r="A54" s="45"/>
    </row>
    <row r="55" spans="1:1">
      <c r="A55" s="45"/>
    </row>
    <row r="56" spans="1:1">
      <c r="A56" s="45"/>
    </row>
    <row r="57" spans="1:1">
      <c r="A57" s="45"/>
    </row>
    <row r="58" spans="1:1">
      <c r="A58" s="45"/>
    </row>
    <row r="59" spans="1:1">
      <c r="A59" s="45"/>
    </row>
    <row r="60" spans="1:1">
      <c r="A60" s="45"/>
    </row>
    <row r="61" spans="1:1">
      <c r="A61" s="45"/>
    </row>
    <row r="62" spans="1:1">
      <c r="A62" s="45"/>
    </row>
    <row r="63" spans="1:1">
      <c r="A63" s="45"/>
    </row>
    <row r="64" spans="1:1">
      <c r="A64" s="45"/>
    </row>
    <row r="65" spans="1:1">
      <c r="A65" s="45"/>
    </row>
    <row r="66" spans="1:1">
      <c r="A66" s="45"/>
    </row>
    <row r="67" spans="1:1">
      <c r="A67" s="45"/>
    </row>
    <row r="68" spans="1:1">
      <c r="A68" s="45"/>
    </row>
    <row r="69" spans="1:1">
      <c r="A69" s="45"/>
    </row>
    <row r="70" spans="1:1">
      <c r="A70" s="45"/>
    </row>
    <row r="71" spans="1:1">
      <c r="A71" s="45"/>
    </row>
    <row r="72" spans="1:1">
      <c r="A72" s="45"/>
    </row>
    <row r="73" spans="1:1">
      <c r="A73" s="45"/>
    </row>
    <row r="74" spans="1:1">
      <c r="A74" s="45"/>
    </row>
    <row r="75" spans="1:1">
      <c r="A75" s="45"/>
    </row>
    <row r="76" spans="1:1">
      <c r="A76" s="45"/>
    </row>
    <row r="77" spans="1:1">
      <c r="A77" s="45"/>
    </row>
    <row r="78" spans="1:1">
      <c r="A78" s="45"/>
    </row>
    <row r="79" spans="1:1">
      <c r="A79" s="45"/>
    </row>
    <row r="80" spans="1:1">
      <c r="A80" s="45"/>
    </row>
    <row r="81" spans="1:1">
      <c r="A81" s="45"/>
    </row>
    <row r="82" spans="1:1">
      <c r="A82" s="45"/>
    </row>
    <row r="83" spans="1:1">
      <c r="A83" s="45"/>
    </row>
    <row r="84" spans="1:1">
      <c r="A84" s="45"/>
    </row>
    <row r="85" spans="1:1">
      <c r="A85" s="45"/>
    </row>
    <row r="86" spans="1:1">
      <c r="A86" s="45"/>
    </row>
    <row r="87" spans="1:1">
      <c r="A87" s="45"/>
    </row>
    <row r="88" spans="1:1">
      <c r="A88" s="45"/>
    </row>
    <row r="89" spans="1:1">
      <c r="A89" s="45"/>
    </row>
    <row r="90" spans="1:1">
      <c r="A90" s="45"/>
    </row>
    <row r="91" spans="1:1">
      <c r="A91" s="45"/>
    </row>
    <row r="92" spans="1:1">
      <c r="A92" s="45"/>
    </row>
    <row r="93" spans="1:1">
      <c r="A93" s="45"/>
    </row>
    <row r="94" spans="1:1">
      <c r="A94" s="45"/>
    </row>
    <row r="95" spans="1:1">
      <c r="A95" s="45"/>
    </row>
    <row r="96" spans="1:1">
      <c r="A96" s="45"/>
    </row>
    <row r="97" spans="1:1">
      <c r="A97" s="45"/>
    </row>
    <row r="98" spans="1:1">
      <c r="A98" s="45"/>
    </row>
    <row r="99" spans="1:1">
      <c r="A99" s="45"/>
    </row>
    <row r="100" spans="1:1">
      <c r="A100" s="45"/>
    </row>
    <row r="101" spans="1:1">
      <c r="A101" s="45"/>
    </row>
    <row r="102" spans="1:1">
      <c r="A102" s="45"/>
    </row>
    <row r="103" spans="1:1">
      <c r="A103" s="45"/>
    </row>
    <row r="104" spans="1:1">
      <c r="A104" s="45"/>
    </row>
    <row r="105" spans="1:1">
      <c r="A105" s="45"/>
    </row>
    <row r="106" spans="1:1">
      <c r="A106" s="45"/>
    </row>
    <row r="107" spans="1:1">
      <c r="A107" s="45"/>
    </row>
    <row r="108" spans="1:1">
      <c r="A108" s="45"/>
    </row>
    <row r="109" spans="1:1">
      <c r="A109" s="45"/>
    </row>
    <row r="110" spans="1:1">
      <c r="A110" s="45"/>
    </row>
    <row r="111" spans="1:1">
      <c r="A111" s="45"/>
    </row>
    <row r="112" spans="1:1">
      <c r="A112" s="45"/>
    </row>
    <row r="113" spans="1:1">
      <c r="A113" s="45"/>
    </row>
    <row r="114" spans="1:1">
      <c r="A114" s="45"/>
    </row>
    <row r="115" spans="1:1">
      <c r="A115" s="45"/>
    </row>
    <row r="116" spans="1:1">
      <c r="A116" s="45"/>
    </row>
    <row r="117" spans="1:1">
      <c r="A117" s="45"/>
    </row>
    <row r="118" spans="1:1">
      <c r="A118" s="45"/>
    </row>
    <row r="119" spans="1:1">
      <c r="A119" s="45"/>
    </row>
    <row r="120" spans="1:1">
      <c r="A120" s="45"/>
    </row>
    <row r="121" spans="1:1">
      <c r="A121" s="45"/>
    </row>
    <row r="122" spans="1:1">
      <c r="A122" s="45"/>
    </row>
    <row r="123" spans="1:1">
      <c r="A123" s="45"/>
    </row>
    <row r="124" spans="1:1">
      <c r="A124" s="45"/>
    </row>
    <row r="125" spans="1:1">
      <c r="A125" s="45"/>
    </row>
    <row r="126" spans="1:1">
      <c r="A126" s="45"/>
    </row>
    <row r="127" spans="1:1">
      <c r="A127" s="45"/>
    </row>
    <row r="128" spans="1:1">
      <c r="A128" s="45"/>
    </row>
    <row r="129" spans="1:1">
      <c r="A129" s="45"/>
    </row>
    <row r="130" spans="1:1">
      <c r="A130" s="45"/>
    </row>
    <row r="131" spans="1:1">
      <c r="A131" s="45"/>
    </row>
    <row r="132" spans="1:1">
      <c r="A132" s="45"/>
    </row>
    <row r="133" spans="1:1">
      <c r="A133" s="45"/>
    </row>
    <row r="134" spans="1:1">
      <c r="A134" s="45"/>
    </row>
    <row r="135" spans="1:1">
      <c r="A135" s="45"/>
    </row>
    <row r="136" spans="1:1">
      <c r="A136" s="45"/>
    </row>
    <row r="137" spans="1:1">
      <c r="A137" s="45"/>
    </row>
    <row r="138" spans="1:1">
      <c r="A138" s="45"/>
    </row>
    <row r="139" spans="1:1">
      <c r="A139" s="45"/>
    </row>
    <row r="140" spans="1:1">
      <c r="A140" s="45"/>
    </row>
    <row r="141" spans="1:1">
      <c r="A141" s="45"/>
    </row>
    <row r="142" spans="1:1">
      <c r="A142" s="45"/>
    </row>
    <row r="143" spans="1:1">
      <c r="A143" s="45"/>
    </row>
    <row r="144" spans="1:1">
      <c r="A144" s="45"/>
    </row>
    <row r="145" spans="1:1">
      <c r="A145" s="45"/>
    </row>
    <row r="146" spans="1:1">
      <c r="A146" s="45"/>
    </row>
    <row r="147" spans="1:1">
      <c r="A147" s="45"/>
    </row>
    <row r="148" spans="1:1">
      <c r="A148" s="45"/>
    </row>
    <row r="149" spans="1:1">
      <c r="A149" s="45"/>
    </row>
    <row r="150" spans="1:1">
      <c r="A150" s="45"/>
    </row>
    <row r="151" spans="1:1">
      <c r="A151" s="45"/>
    </row>
    <row r="152" spans="1:1">
      <c r="A152" s="45"/>
    </row>
    <row r="153" spans="1:1">
      <c r="A153" s="45"/>
    </row>
    <row r="154" spans="1:1">
      <c r="A154" s="45"/>
    </row>
    <row r="155" spans="1:1">
      <c r="A155" s="45"/>
    </row>
    <row r="156" spans="1:1">
      <c r="A156" s="45"/>
    </row>
    <row r="157" spans="1:1">
      <c r="A157" s="45"/>
    </row>
    <row r="158" spans="1:1">
      <c r="A158" s="45"/>
    </row>
    <row r="159" spans="1:1">
      <c r="A159" s="45"/>
    </row>
    <row r="160" spans="1:1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  <row r="183" spans="1:1">
      <c r="A183" s="45"/>
    </row>
  </sheetData>
  <mergeCells count="10">
    <mergeCell ref="A3:A4"/>
    <mergeCell ref="A1:H1"/>
    <mergeCell ref="B3:B4"/>
    <mergeCell ref="A2:H2"/>
    <mergeCell ref="C17:D17"/>
    <mergeCell ref="F17:H17"/>
    <mergeCell ref="C3:D3"/>
    <mergeCell ref="E3:H3"/>
    <mergeCell ref="C16:D16"/>
    <mergeCell ref="F16:H16"/>
  </mergeCells>
  <phoneticPr fontId="0" type="noConversion"/>
  <pageMargins left="1.1811023622047245" right="0.39370078740157483" top="0.78740157480314965" bottom="0.78740157480314965" header="0.27559055118110237" footer="0.31496062992125984"/>
  <pageSetup paperSize="9" scale="54" firstPageNumber="9" orientation="landscape" useFirstPageNumber="1" r:id="rId1"/>
  <headerFooter alignWithMargins="0">
    <oddHeader xml:space="preserve">&amp;C
&amp;"Times New Roman,обычный"&amp;14 11&amp;R&amp;"Times New Roman,обычный"&amp;14Продовження додатка 3
Таблиця 4  
</oddHeader>
  </headerFooter>
  <ignoredErrors>
    <ignoredError sqref="B7" numberStoredAsText="1"/>
    <ignoredError sqref="H6 H9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K28"/>
  <sheetViews>
    <sheetView zoomScale="50" zoomScaleNormal="50" zoomScaleSheetLayoutView="6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20" sqref="D20"/>
    </sheetView>
  </sheetViews>
  <sheetFormatPr defaultColWidth="9.109375" defaultRowHeight="13.2"/>
  <cols>
    <col min="1" max="1" width="95" style="30" customWidth="1"/>
    <col min="2" max="2" width="19.44140625" style="30" customWidth="1"/>
    <col min="3" max="7" width="26" style="30" customWidth="1"/>
    <col min="8" max="8" width="81.5546875" style="30" customWidth="1"/>
    <col min="9" max="9" width="9.5546875" style="30" customWidth="1"/>
    <col min="10" max="10" width="9.109375" style="30" customWidth="1"/>
    <col min="11" max="11" width="27.109375" style="30" customWidth="1"/>
    <col min="12" max="16384" width="9.109375" style="30"/>
  </cols>
  <sheetData>
    <row r="1" spans="1:8" ht="19.5" customHeight="1">
      <c r="A1" s="400" t="s">
        <v>146</v>
      </c>
      <c r="B1" s="400"/>
      <c r="C1" s="400"/>
      <c r="D1" s="400"/>
      <c r="E1" s="400"/>
      <c r="F1" s="400"/>
      <c r="G1" s="400"/>
      <c r="H1" s="400"/>
    </row>
    <row r="2" spans="1:8" ht="16.5" customHeight="1"/>
    <row r="3" spans="1:8" ht="49.65" customHeight="1">
      <c r="A3" s="401" t="s">
        <v>192</v>
      </c>
      <c r="B3" s="401" t="s">
        <v>0</v>
      </c>
      <c r="C3" s="401" t="s">
        <v>84</v>
      </c>
      <c r="D3" s="382" t="s">
        <v>156</v>
      </c>
      <c r="E3" s="382"/>
      <c r="F3" s="403" t="s">
        <v>564</v>
      </c>
      <c r="G3" s="403"/>
      <c r="H3" s="401" t="s">
        <v>210</v>
      </c>
    </row>
    <row r="4" spans="1:8" ht="63" customHeight="1">
      <c r="A4" s="402"/>
      <c r="B4" s="402"/>
      <c r="C4" s="402"/>
      <c r="D4" s="206" t="s">
        <v>179</v>
      </c>
      <c r="E4" s="206" t="s">
        <v>180</v>
      </c>
      <c r="F4" s="206" t="s">
        <v>179</v>
      </c>
      <c r="G4" s="206" t="s">
        <v>180</v>
      </c>
      <c r="H4" s="402"/>
    </row>
    <row r="5" spans="1:8" s="54" customFormat="1" ht="29.25" customHeight="1">
      <c r="A5" s="38">
        <v>1</v>
      </c>
      <c r="B5" s="38">
        <v>2</v>
      </c>
      <c r="C5" s="38">
        <v>3</v>
      </c>
      <c r="D5" s="38">
        <v>7</v>
      </c>
      <c r="E5" s="38">
        <v>7</v>
      </c>
      <c r="F5" s="38">
        <v>6</v>
      </c>
      <c r="G5" s="38">
        <v>7</v>
      </c>
      <c r="H5" s="38">
        <v>8</v>
      </c>
    </row>
    <row r="6" spans="1:8" s="54" customFormat="1" ht="24.9" customHeight="1">
      <c r="A6" s="53" t="s">
        <v>130</v>
      </c>
      <c r="B6" s="53"/>
      <c r="C6" s="38"/>
      <c r="D6" s="38"/>
      <c r="E6" s="38"/>
      <c r="F6" s="38"/>
      <c r="G6" s="38"/>
      <c r="H6" s="38"/>
    </row>
    <row r="7" spans="1:8" ht="54">
      <c r="A7" s="215" t="s">
        <v>412</v>
      </c>
      <c r="B7" s="206">
        <v>5000</v>
      </c>
      <c r="C7" s="87" t="s">
        <v>219</v>
      </c>
      <c r="D7" s="78">
        <f>F7</f>
        <v>13.616239244841685</v>
      </c>
      <c r="E7" s="78">
        <f>('Осн. фін. пок.'!D36/'Осн. фін. пок.'!D34)*100</f>
        <v>15.15937731653079</v>
      </c>
      <c r="F7" s="78">
        <v>13.616239244841685</v>
      </c>
      <c r="G7" s="78">
        <f>('Осн. фін. пок.'!F36/'Осн. фін. пок.'!F34)*100</f>
        <v>15.15937731653079</v>
      </c>
      <c r="H7" s="79"/>
    </row>
    <row r="8" spans="1:8" ht="54">
      <c r="A8" s="215" t="s">
        <v>413</v>
      </c>
      <c r="B8" s="206">
        <v>5010</v>
      </c>
      <c r="C8" s="87" t="s">
        <v>219</v>
      </c>
      <c r="D8" s="78">
        <f t="shared" ref="D8:D19" si="0">F8</f>
        <v>4.3271238827165499</v>
      </c>
      <c r="E8" s="78">
        <f>('Осн. фін. пок.'!D51/'Осн. фін. пок.'!D34)*100</f>
        <v>2.6315789473684505</v>
      </c>
      <c r="F8" s="78">
        <v>4.3271238827165499</v>
      </c>
      <c r="G8" s="78">
        <f>('Осн. фін. пок.'!F51/'Осн. фін. пок.'!F34)*100</f>
        <v>2.6315789473684505</v>
      </c>
      <c r="H8" s="79"/>
    </row>
    <row r="9" spans="1:8" ht="42.75" customHeight="1">
      <c r="A9" s="29" t="s">
        <v>414</v>
      </c>
      <c r="B9" s="206">
        <v>5020</v>
      </c>
      <c r="C9" s="87" t="s">
        <v>219</v>
      </c>
      <c r="D9" s="78">
        <f t="shared" si="0"/>
        <v>8.0286891826793806E-3</v>
      </c>
      <c r="E9" s="285">
        <f>('Осн. фін. пок.'!D66/'Осн. фін. пок.'!D143)*100</f>
        <v>4.0194574552736083E-2</v>
      </c>
      <c r="F9" s="285">
        <v>8.0286891826793806E-3</v>
      </c>
      <c r="G9" s="285">
        <f>('Осн. фін. пок.'!F66/'Осн. фін. пок.'!F143)*100</f>
        <v>4.0194574552736083E-2</v>
      </c>
      <c r="H9" s="79" t="s">
        <v>220</v>
      </c>
    </row>
    <row r="10" spans="1:8" ht="42.75" customHeight="1">
      <c r="A10" s="29" t="s">
        <v>415</v>
      </c>
      <c r="B10" s="206">
        <v>5030</v>
      </c>
      <c r="C10" s="87" t="s">
        <v>219</v>
      </c>
      <c r="D10" s="78">
        <f t="shared" si="0"/>
        <v>8.0447300231641268E-3</v>
      </c>
      <c r="E10" s="285">
        <f>('Осн. фін. пок.'!D66/'Осн. фін. пок.'!D149)*100</f>
        <v>4.2754432500352491E-2</v>
      </c>
      <c r="F10" s="285">
        <v>8.0447300231641268E-3</v>
      </c>
      <c r="G10" s="285">
        <f>('Осн. фін. пок.'!F66/'Осн. фін. пок.'!F149)*100</f>
        <v>4.2754432500352491E-2</v>
      </c>
      <c r="H10" s="79"/>
    </row>
    <row r="11" spans="1:8" ht="54">
      <c r="A11" s="29" t="s">
        <v>416</v>
      </c>
      <c r="B11" s="206">
        <v>5040</v>
      </c>
      <c r="C11" s="87" t="s">
        <v>219</v>
      </c>
      <c r="D11" s="78">
        <f t="shared" si="0"/>
        <v>2.0299056052125821</v>
      </c>
      <c r="E11" s="78">
        <f>('Осн. фін. пок.'!D66/'Осн. фін. пок.'!D34)*100</f>
        <v>0.36323202372130453</v>
      </c>
      <c r="F11" s="78">
        <v>2.0299056052125821</v>
      </c>
      <c r="G11" s="78">
        <f>('Осн. фін. пок.'!F66/'Осн. фін. пок.'!F34)*100</f>
        <v>0.36323202372130453</v>
      </c>
      <c r="H11" s="79" t="s">
        <v>221</v>
      </c>
    </row>
    <row r="12" spans="1:8" ht="24.9" customHeight="1">
      <c r="A12" s="53" t="s">
        <v>132</v>
      </c>
      <c r="B12" s="206"/>
      <c r="C12" s="88"/>
      <c r="D12" s="78"/>
      <c r="E12" s="78"/>
      <c r="F12" s="78"/>
      <c r="G12" s="78"/>
      <c r="H12" s="79"/>
    </row>
    <row r="13" spans="1:8" ht="54">
      <c r="A13" s="79" t="s">
        <v>373</v>
      </c>
      <c r="B13" s="206">
        <v>5100</v>
      </c>
      <c r="C13" s="87"/>
      <c r="D13" s="78">
        <f t="shared" si="0"/>
        <v>11.650579150579192</v>
      </c>
      <c r="E13" s="78">
        <f>('Осн. фін. пок.'!D144+'Осн. фін. пок.'!D145)/'Осн. фін. пок.'!D51</f>
        <v>20.560563380281458</v>
      </c>
      <c r="F13" s="78">
        <v>11.650579150579192</v>
      </c>
      <c r="G13" s="78">
        <f>('Осн. фін. пок.'!F144+'Осн. фін. пок.'!F145)/'Осн. фін. пок.'!F51</f>
        <v>20.560563380281458</v>
      </c>
      <c r="H13" s="79"/>
    </row>
    <row r="14" spans="1:8" s="54" customFormat="1" ht="54">
      <c r="A14" s="79" t="s">
        <v>396</v>
      </c>
      <c r="B14" s="206">
        <v>5110</v>
      </c>
      <c r="C14" s="87" t="s">
        <v>127</v>
      </c>
      <c r="D14" s="78">
        <f t="shared" si="0"/>
        <v>500.51549295774646</v>
      </c>
      <c r="E14" s="78">
        <f>'Осн. фін. пок.'!D149/('Осн. фін. пок.'!D144+'Осн. фін. пок.'!D145)</f>
        <v>15.70187696944787</v>
      </c>
      <c r="F14" s="78">
        <v>500.51549295774646</v>
      </c>
      <c r="G14" s="78">
        <f>'Осн. фін. пок.'!F149/('Осн. фін. пок.'!F144+'Осн. фін. пок.'!F145)</f>
        <v>15.70187696944787</v>
      </c>
      <c r="H14" s="79" t="s">
        <v>222</v>
      </c>
    </row>
    <row r="15" spans="1:8" s="54" customFormat="1" ht="54">
      <c r="A15" s="79" t="s">
        <v>397</v>
      </c>
      <c r="B15" s="206">
        <v>5120</v>
      </c>
      <c r="C15" s="87" t="s">
        <v>127</v>
      </c>
      <c r="D15" s="78">
        <f t="shared" si="0"/>
        <v>2.0051367025683513</v>
      </c>
      <c r="E15" s="78">
        <f>'Осн. фін. пок.'!D141/'Осн. фін. пок.'!D145</f>
        <v>2.060967255788464</v>
      </c>
      <c r="F15" s="78">
        <v>2.0051367025683513</v>
      </c>
      <c r="G15" s="78">
        <f>'Осн. фін. пок.'!F141/'Осн. фін. пок.'!F145</f>
        <v>2.060967255788464</v>
      </c>
      <c r="H15" s="79" t="s">
        <v>224</v>
      </c>
    </row>
    <row r="16" spans="1:8" ht="24.9" customHeight="1">
      <c r="A16" s="53" t="s">
        <v>131</v>
      </c>
      <c r="B16" s="206"/>
      <c r="C16" s="87"/>
      <c r="D16" s="78">
        <f t="shared" si="0"/>
        <v>0</v>
      </c>
      <c r="E16" s="78"/>
      <c r="F16" s="78"/>
      <c r="G16" s="78"/>
      <c r="H16" s="79"/>
    </row>
    <row r="17" spans="1:11" ht="42.75" customHeight="1">
      <c r="A17" s="79" t="s">
        <v>398</v>
      </c>
      <c r="B17" s="206">
        <v>5200</v>
      </c>
      <c r="C17" s="87"/>
      <c r="D17" s="285">
        <f t="shared" si="0"/>
        <v>0</v>
      </c>
      <c r="E17" s="288">
        <f>'Осн. фін. пок.'!D118/'Осн. фін. пок.'!D78</f>
        <v>0.43173431734317341</v>
      </c>
      <c r="F17" s="285">
        <v>0</v>
      </c>
      <c r="G17" s="288">
        <f>'IV. Кап. інвестиції'!D6/'I. Фін результат'!D124</f>
        <v>0.43173431734317341</v>
      </c>
      <c r="H17" s="79"/>
    </row>
    <row r="18" spans="1:11" ht="72">
      <c r="A18" s="79" t="s">
        <v>399</v>
      </c>
      <c r="B18" s="206">
        <v>5210</v>
      </c>
      <c r="C18" s="87"/>
      <c r="D18" s="285">
        <f t="shared" si="0"/>
        <v>2.0131985631943863E-2</v>
      </c>
      <c r="E18" s="285">
        <f>'Осн. фін. пок.'!D118/'Осн. фін. пок.'!D34</f>
        <v>1.7346182357301704E-2</v>
      </c>
      <c r="F18" s="285">
        <f>'IV. Кап. інвестиції'!C6/'I. Фін результат'!C7</f>
        <v>2.0131985631943863E-2</v>
      </c>
      <c r="G18" s="285">
        <f>'IV. Кап. інвестиції'!D6/'I. Фін результат'!D7</f>
        <v>1.7346182357301704E-2</v>
      </c>
      <c r="H18" s="79"/>
    </row>
    <row r="19" spans="1:11" ht="36">
      <c r="A19" s="79" t="s">
        <v>400</v>
      </c>
      <c r="B19" s="206">
        <v>5220</v>
      </c>
      <c r="C19" s="87" t="s">
        <v>322</v>
      </c>
      <c r="D19" s="232">
        <f t="shared" si="0"/>
        <v>0.32004085718124098</v>
      </c>
      <c r="E19" s="232">
        <f>'Осн. фін. пок.'!D140/'Осн. фін. пок.'!D139</f>
        <v>0.40612813370473538</v>
      </c>
      <c r="F19" s="232">
        <f>'Осн. фін. пок.'!C140/'Осн. фін. пок.'!C139</f>
        <v>0.32004085718124098</v>
      </c>
      <c r="G19" s="232">
        <f>'Осн. фін. пок.'!F140/'Осн. фін. пок.'!F139</f>
        <v>0.40612813370473538</v>
      </c>
      <c r="H19" s="79" t="s">
        <v>223</v>
      </c>
    </row>
    <row r="20" spans="1:11" ht="24.9" customHeight="1">
      <c r="A20" s="53" t="s">
        <v>213</v>
      </c>
      <c r="B20" s="206"/>
      <c r="C20" s="87"/>
      <c r="D20" s="78"/>
      <c r="E20" s="78"/>
      <c r="F20" s="78"/>
      <c r="G20" s="78"/>
      <c r="H20" s="79"/>
    </row>
    <row r="21" spans="1:11" ht="72">
      <c r="A21" s="29" t="s">
        <v>226</v>
      </c>
      <c r="B21" s="206">
        <v>5300</v>
      </c>
      <c r="C21" s="87"/>
      <c r="D21" s="78"/>
      <c r="E21" s="78"/>
      <c r="F21" s="78"/>
      <c r="G21" s="78"/>
      <c r="H21" s="81"/>
    </row>
    <row r="26" spans="1:11" ht="20.399999999999999">
      <c r="K26" s="80"/>
    </row>
    <row r="27" spans="1:11" s="210" customFormat="1" ht="27.75" customHeight="1">
      <c r="A27" s="50" t="s">
        <v>492</v>
      </c>
      <c r="B27" s="1"/>
      <c r="C27" s="362" t="s">
        <v>89</v>
      </c>
      <c r="D27" s="362"/>
      <c r="E27" s="69"/>
      <c r="F27" s="363" t="s">
        <v>493</v>
      </c>
      <c r="G27" s="363"/>
      <c r="H27" s="363"/>
    </row>
    <row r="28" spans="1:11" s="138" customFormat="1" ht="18">
      <c r="A28" s="202" t="s">
        <v>212</v>
      </c>
      <c r="B28" s="210"/>
      <c r="C28" s="364" t="s">
        <v>211</v>
      </c>
      <c r="D28" s="364"/>
      <c r="E28" s="155"/>
      <c r="F28" s="365" t="s">
        <v>85</v>
      </c>
      <c r="G28" s="365"/>
      <c r="H28" s="365"/>
    </row>
  </sheetData>
  <mergeCells count="11">
    <mergeCell ref="C27:D27"/>
    <mergeCell ref="F27:H27"/>
    <mergeCell ref="C28:D28"/>
    <mergeCell ref="F28:H28"/>
    <mergeCell ref="A1:H1"/>
    <mergeCell ref="A3:A4"/>
    <mergeCell ref="B3:B4"/>
    <mergeCell ref="C3:C4"/>
    <mergeCell ref="D3:E3"/>
    <mergeCell ref="F3:G3"/>
    <mergeCell ref="H3:H4"/>
  </mergeCells>
  <phoneticPr fontId="3" type="noConversion"/>
  <pageMargins left="0.78740157480314965" right="0.39370078740157483" top="0.78740157480314965" bottom="0.78740157480314965" header="0.51181102362204722" footer="0.31496062992125984"/>
  <pageSetup paperSize="9" scale="42" orientation="landscape" r:id="rId1"/>
  <headerFooter alignWithMargins="0">
    <oddHeader>&amp;C&amp;"Times New Roman,обычный"&amp;14
&amp;18 &amp;14 12&amp;R
&amp;"Times New Roman,обычный"&amp;14Продовження додатка 3
Таблиця  5</oddHeader>
  </headerFooter>
  <ignoredErrors>
    <ignoredError sqref="G11 G7:G8 G9 G10 G13 G14 G15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Q83"/>
  <sheetViews>
    <sheetView zoomScale="50" zoomScaleNormal="50" zoomScaleSheetLayoutView="65" workbookViewId="0">
      <selection activeCell="X14" sqref="X14"/>
    </sheetView>
  </sheetViews>
  <sheetFormatPr defaultColWidth="9.109375" defaultRowHeight="18"/>
  <cols>
    <col min="1" max="1" width="44.88671875" style="138" customWidth="1"/>
    <col min="2" max="2" width="13.5546875" style="20" customWidth="1"/>
    <col min="3" max="3" width="18.5546875" style="138" customWidth="1"/>
    <col min="4" max="4" width="16.109375" style="138" customWidth="1"/>
    <col min="5" max="5" width="15.44140625" style="138" customWidth="1"/>
    <col min="6" max="6" width="16.5546875" style="138" customWidth="1"/>
    <col min="7" max="7" width="15.33203125" style="138" customWidth="1"/>
    <col min="8" max="8" width="16.5546875" style="138" customWidth="1"/>
    <col min="9" max="9" width="16.109375" style="138" customWidth="1"/>
    <col min="10" max="10" width="16.44140625" style="138" customWidth="1"/>
    <col min="11" max="11" width="16.5546875" style="138" customWidth="1"/>
    <col min="12" max="12" width="16.88671875" style="138" customWidth="1"/>
    <col min="13" max="15" width="16.6640625" style="138" customWidth="1"/>
    <col min="16" max="16" width="20" style="138" hidden="1" customWidth="1"/>
    <col min="17" max="17" width="18.88671875" style="138" hidden="1" customWidth="1"/>
    <col min="18" max="16384" width="9.109375" style="138"/>
  </cols>
  <sheetData>
    <row r="1" spans="1:15">
      <c r="A1" s="436" t="s">
        <v>102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15">
      <c r="A2" s="436" t="s">
        <v>566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</row>
    <row r="3" spans="1:15">
      <c r="A3" s="422" t="s">
        <v>484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</row>
    <row r="4" spans="1:15">
      <c r="A4" s="423" t="s">
        <v>112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</row>
    <row r="5" spans="1:15" ht="24.9" customHeight="1">
      <c r="A5" s="424" t="s">
        <v>274</v>
      </c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</row>
    <row r="6" spans="1:15" ht="9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</row>
    <row r="7" spans="1:15" ht="57" customHeight="1">
      <c r="A7" s="425" t="s">
        <v>583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</row>
    <row r="8" spans="1:15" ht="18.75" customHeight="1">
      <c r="B8" s="138"/>
      <c r="C8" s="250"/>
    </row>
    <row r="9" spans="1:15" s="210" customFormat="1" ht="53.25" customHeight="1">
      <c r="A9" s="382" t="s">
        <v>192</v>
      </c>
      <c r="B9" s="382"/>
      <c r="C9" s="382" t="s">
        <v>340</v>
      </c>
      <c r="D9" s="382"/>
      <c r="E9" s="382"/>
      <c r="F9" s="426" t="s">
        <v>341</v>
      </c>
      <c r="G9" s="432"/>
      <c r="H9" s="427"/>
      <c r="I9" s="382" t="s">
        <v>342</v>
      </c>
      <c r="J9" s="382"/>
      <c r="K9" s="382"/>
      <c r="L9" s="382" t="s">
        <v>338</v>
      </c>
      <c r="M9" s="382"/>
      <c r="N9" s="426" t="s">
        <v>339</v>
      </c>
      <c r="O9" s="427"/>
    </row>
    <row r="10" spans="1:15" s="210" customFormat="1" ht="17.25" customHeight="1">
      <c r="A10" s="382">
        <v>1</v>
      </c>
      <c r="B10" s="382"/>
      <c r="C10" s="382">
        <v>4</v>
      </c>
      <c r="D10" s="382"/>
      <c r="E10" s="382"/>
      <c r="F10" s="426">
        <v>3</v>
      </c>
      <c r="G10" s="432"/>
      <c r="H10" s="427"/>
      <c r="I10" s="382">
        <v>4</v>
      </c>
      <c r="J10" s="382"/>
      <c r="K10" s="382"/>
      <c r="L10" s="426">
        <v>5</v>
      </c>
      <c r="M10" s="427"/>
      <c r="N10" s="382">
        <v>6</v>
      </c>
      <c r="O10" s="382"/>
    </row>
    <row r="11" spans="1:15" s="210" customFormat="1" ht="80.099999999999994" customHeight="1">
      <c r="A11" s="404" t="s">
        <v>348</v>
      </c>
      <c r="B11" s="404"/>
      <c r="C11" s="433">
        <f>SUM(C14:C16)</f>
        <v>225</v>
      </c>
      <c r="D11" s="434"/>
      <c r="E11" s="435"/>
      <c r="F11" s="433">
        <f>SUM(F14:F16)</f>
        <v>226</v>
      </c>
      <c r="G11" s="434"/>
      <c r="H11" s="435"/>
      <c r="I11" s="433">
        <f>SUM(I14:I16)</f>
        <v>222</v>
      </c>
      <c r="J11" s="434"/>
      <c r="K11" s="435"/>
      <c r="L11" s="421">
        <f>I11-F11</f>
        <v>-4</v>
      </c>
      <c r="M11" s="421"/>
      <c r="N11" s="430">
        <f>(I11/F11)*100</f>
        <v>98.230088495575217</v>
      </c>
      <c r="O11" s="431"/>
    </row>
    <row r="12" spans="1:15" s="234" customFormat="1" ht="24.15" customHeight="1">
      <c r="A12" s="416" t="s">
        <v>510</v>
      </c>
      <c r="B12" s="406"/>
      <c r="C12" s="239"/>
      <c r="D12" s="240"/>
      <c r="E12" s="241"/>
      <c r="F12" s="239"/>
      <c r="G12" s="240"/>
      <c r="H12" s="241"/>
      <c r="I12" s="239"/>
      <c r="J12" s="240"/>
      <c r="K12" s="241"/>
      <c r="L12" s="236"/>
      <c r="M12" s="236"/>
      <c r="N12" s="237"/>
      <c r="O12" s="238"/>
    </row>
    <row r="13" spans="1:15" s="234" customFormat="1" ht="18.75" customHeight="1">
      <c r="A13" s="416" t="s">
        <v>511</v>
      </c>
      <c r="B13" s="406"/>
      <c r="C13" s="239"/>
      <c r="D13" s="240"/>
      <c r="E13" s="241"/>
      <c r="F13" s="239"/>
      <c r="G13" s="240"/>
      <c r="H13" s="241"/>
      <c r="I13" s="239"/>
      <c r="J13" s="240"/>
      <c r="K13" s="241"/>
      <c r="L13" s="236"/>
      <c r="M13" s="236"/>
      <c r="N13" s="237"/>
      <c r="O13" s="238"/>
    </row>
    <row r="14" spans="1:15" s="210" customFormat="1" ht="18.75" customHeight="1">
      <c r="A14" s="405" t="s">
        <v>512</v>
      </c>
      <c r="B14" s="406"/>
      <c r="C14" s="418">
        <v>1</v>
      </c>
      <c r="D14" s="419"/>
      <c r="E14" s="420"/>
      <c r="F14" s="418">
        <v>1</v>
      </c>
      <c r="G14" s="419"/>
      <c r="H14" s="420"/>
      <c r="I14" s="418">
        <v>1</v>
      </c>
      <c r="J14" s="419"/>
      <c r="K14" s="420"/>
      <c r="L14" s="417">
        <f t="shared" ref="L14:L37" si="0">I14-F14</f>
        <v>0</v>
      </c>
      <c r="M14" s="417"/>
      <c r="N14" s="428">
        <f t="shared" ref="N14:N37" si="1">(I14/F14)*100</f>
        <v>100</v>
      </c>
      <c r="O14" s="429"/>
    </row>
    <row r="15" spans="1:15" s="210" customFormat="1">
      <c r="A15" s="407" t="s">
        <v>195</v>
      </c>
      <c r="B15" s="407"/>
      <c r="C15" s="418">
        <v>47</v>
      </c>
      <c r="D15" s="419"/>
      <c r="E15" s="420"/>
      <c r="F15" s="418">
        <v>48</v>
      </c>
      <c r="G15" s="419"/>
      <c r="H15" s="420"/>
      <c r="I15" s="418">
        <v>45</v>
      </c>
      <c r="J15" s="419"/>
      <c r="K15" s="420"/>
      <c r="L15" s="417">
        <f t="shared" si="0"/>
        <v>-3</v>
      </c>
      <c r="M15" s="417"/>
      <c r="N15" s="428">
        <f t="shared" si="1"/>
        <v>93.75</v>
      </c>
      <c r="O15" s="429"/>
    </row>
    <row r="16" spans="1:15" s="210" customFormat="1">
      <c r="A16" s="407" t="s">
        <v>196</v>
      </c>
      <c r="B16" s="407"/>
      <c r="C16" s="418">
        <v>177</v>
      </c>
      <c r="D16" s="419"/>
      <c r="E16" s="420"/>
      <c r="F16" s="418">
        <v>177</v>
      </c>
      <c r="G16" s="419"/>
      <c r="H16" s="420"/>
      <c r="I16" s="418">
        <v>176</v>
      </c>
      <c r="J16" s="419"/>
      <c r="K16" s="420"/>
      <c r="L16" s="417">
        <f t="shared" si="0"/>
        <v>-1</v>
      </c>
      <c r="M16" s="417"/>
      <c r="N16" s="428">
        <f t="shared" si="1"/>
        <v>99.435028248587571</v>
      </c>
      <c r="O16" s="429"/>
    </row>
    <row r="17" spans="1:17" s="210" customFormat="1" ht="37.5" customHeight="1">
      <c r="A17" s="404" t="s">
        <v>401</v>
      </c>
      <c r="B17" s="404"/>
      <c r="C17" s="408">
        <f>SUM(C20:C22)</f>
        <v>5139</v>
      </c>
      <c r="D17" s="409"/>
      <c r="E17" s="410"/>
      <c r="F17" s="408">
        <f>SUM(F20:F22)</f>
        <v>5762.9</v>
      </c>
      <c r="G17" s="409"/>
      <c r="H17" s="410"/>
      <c r="I17" s="408">
        <f>I20+I21+I22</f>
        <v>5788.4</v>
      </c>
      <c r="J17" s="409"/>
      <c r="K17" s="410"/>
      <c r="L17" s="421">
        <f t="shared" si="0"/>
        <v>25.5</v>
      </c>
      <c r="M17" s="421"/>
      <c r="N17" s="430">
        <f t="shared" si="1"/>
        <v>100.44248555414808</v>
      </c>
      <c r="O17" s="431"/>
      <c r="P17" s="302">
        <f>'I. Фін результат'!E122</f>
        <v>5762.9</v>
      </c>
      <c r="Q17" s="210">
        <f>'I. Фін результат'!F122</f>
        <v>5788.4</v>
      </c>
    </row>
    <row r="18" spans="1:17" s="234" customFormat="1" ht="24.15" customHeight="1">
      <c r="A18" s="416" t="s">
        <v>510</v>
      </c>
      <c r="B18" s="406"/>
      <c r="C18" s="239"/>
      <c r="D18" s="240"/>
      <c r="E18" s="241">
        <v>0</v>
      </c>
      <c r="F18" s="239"/>
      <c r="G18" s="240"/>
      <c r="H18" s="241"/>
      <c r="I18" s="264"/>
      <c r="J18" s="265"/>
      <c r="K18" s="266"/>
      <c r="L18" s="236"/>
      <c r="M18" s="236"/>
      <c r="N18" s="237"/>
      <c r="O18" s="238"/>
    </row>
    <row r="19" spans="1:17" s="234" customFormat="1" ht="18.75" customHeight="1">
      <c r="A19" s="416" t="s">
        <v>511</v>
      </c>
      <c r="B19" s="406"/>
      <c r="C19" s="239"/>
      <c r="D19" s="240"/>
      <c r="E19" s="241">
        <v>0</v>
      </c>
      <c r="F19" s="239"/>
      <c r="G19" s="240"/>
      <c r="H19" s="241"/>
      <c r="I19" s="264"/>
      <c r="J19" s="265"/>
      <c r="K19" s="266"/>
      <c r="L19" s="236"/>
      <c r="M19" s="236"/>
      <c r="N19" s="237"/>
      <c r="O19" s="238"/>
    </row>
    <row r="20" spans="1:17" s="210" customFormat="1">
      <c r="A20" s="405" t="s">
        <v>512</v>
      </c>
      <c r="B20" s="406"/>
      <c r="C20" s="411">
        <v>72.400000000000006</v>
      </c>
      <c r="D20" s="412"/>
      <c r="E20" s="413"/>
      <c r="F20" s="411">
        <v>81</v>
      </c>
      <c r="G20" s="412"/>
      <c r="H20" s="413"/>
      <c r="I20" s="411">
        <v>52.5</v>
      </c>
      <c r="J20" s="412"/>
      <c r="K20" s="413"/>
      <c r="L20" s="417">
        <f t="shared" si="0"/>
        <v>-28.5</v>
      </c>
      <c r="M20" s="417"/>
      <c r="N20" s="428">
        <f t="shared" si="1"/>
        <v>64.81481481481481</v>
      </c>
      <c r="O20" s="429"/>
    </row>
    <row r="21" spans="1:17" s="210" customFormat="1">
      <c r="A21" s="407" t="s">
        <v>195</v>
      </c>
      <c r="B21" s="407"/>
      <c r="C21" s="411">
        <v>1492.4</v>
      </c>
      <c r="D21" s="412"/>
      <c r="E21" s="413"/>
      <c r="F21" s="411">
        <f>986.4+668.9</f>
        <v>1655.3</v>
      </c>
      <c r="G21" s="412"/>
      <c r="H21" s="413"/>
      <c r="I21" s="411">
        <v>1659.1</v>
      </c>
      <c r="J21" s="412"/>
      <c r="K21" s="413"/>
      <c r="L21" s="417">
        <f t="shared" si="0"/>
        <v>3.7999999999999545</v>
      </c>
      <c r="M21" s="417"/>
      <c r="N21" s="428">
        <f t="shared" si="1"/>
        <v>100.22956563764876</v>
      </c>
      <c r="O21" s="429"/>
    </row>
    <row r="22" spans="1:17" s="210" customFormat="1">
      <c r="A22" s="407" t="s">
        <v>196</v>
      </c>
      <c r="B22" s="407"/>
      <c r="C22" s="411">
        <v>3574.2</v>
      </c>
      <c r="D22" s="412"/>
      <c r="E22" s="413"/>
      <c r="F22" s="411">
        <f>3670.8+315.7+40.1</f>
        <v>4026.6</v>
      </c>
      <c r="G22" s="412"/>
      <c r="H22" s="413"/>
      <c r="I22" s="411">
        <v>4076.8</v>
      </c>
      <c r="J22" s="412"/>
      <c r="K22" s="413"/>
      <c r="L22" s="417">
        <f t="shared" si="0"/>
        <v>50.200000000000273</v>
      </c>
      <c r="M22" s="417"/>
      <c r="N22" s="428">
        <f t="shared" si="1"/>
        <v>101.24670938260567</v>
      </c>
      <c r="O22" s="429"/>
    </row>
    <row r="23" spans="1:17" s="210" customFormat="1" ht="36" customHeight="1">
      <c r="A23" s="404" t="s">
        <v>402</v>
      </c>
      <c r="B23" s="404"/>
      <c r="C23" s="408">
        <f>C26+C27+C28</f>
        <v>5139</v>
      </c>
      <c r="D23" s="409"/>
      <c r="E23" s="410"/>
      <c r="F23" s="408">
        <f>F26+F27+F28</f>
        <v>5762.9</v>
      </c>
      <c r="G23" s="409"/>
      <c r="H23" s="410"/>
      <c r="I23" s="408">
        <f>I26+I27+I28</f>
        <v>5788.4</v>
      </c>
      <c r="J23" s="409"/>
      <c r="K23" s="410"/>
      <c r="L23" s="421">
        <f t="shared" si="0"/>
        <v>25.5</v>
      </c>
      <c r="M23" s="421"/>
      <c r="N23" s="430">
        <f t="shared" si="1"/>
        <v>100.44248555414808</v>
      </c>
      <c r="O23" s="431"/>
    </row>
    <row r="24" spans="1:17" s="234" customFormat="1" ht="24.15" customHeight="1">
      <c r="A24" s="416" t="s">
        <v>510</v>
      </c>
      <c r="B24" s="406"/>
      <c r="C24" s="239"/>
      <c r="D24" s="240"/>
      <c r="E24" s="241"/>
      <c r="F24" s="239"/>
      <c r="G24" s="240"/>
      <c r="H24" s="241"/>
      <c r="I24" s="264"/>
      <c r="J24" s="265"/>
      <c r="K24" s="266"/>
      <c r="L24" s="236"/>
      <c r="M24" s="236"/>
      <c r="N24" s="237"/>
      <c r="O24" s="238"/>
    </row>
    <row r="25" spans="1:17" s="234" customFormat="1" ht="18.75" customHeight="1">
      <c r="A25" s="416" t="s">
        <v>511</v>
      </c>
      <c r="B25" s="406"/>
      <c r="C25" s="239"/>
      <c r="D25" s="240"/>
      <c r="E25" s="241"/>
      <c r="F25" s="239"/>
      <c r="G25" s="240"/>
      <c r="H25" s="241"/>
      <c r="I25" s="264"/>
      <c r="J25" s="265"/>
      <c r="K25" s="266"/>
      <c r="L25" s="236"/>
      <c r="M25" s="236"/>
      <c r="N25" s="237"/>
      <c r="O25" s="238"/>
    </row>
    <row r="26" spans="1:17" s="210" customFormat="1">
      <c r="A26" s="405" t="s">
        <v>512</v>
      </c>
      <c r="B26" s="406"/>
      <c r="C26" s="411">
        <f>C20</f>
        <v>72.400000000000006</v>
      </c>
      <c r="D26" s="412"/>
      <c r="E26" s="413"/>
      <c r="F26" s="411">
        <f>F20</f>
        <v>81</v>
      </c>
      <c r="G26" s="412"/>
      <c r="H26" s="413"/>
      <c r="I26" s="411">
        <f>I20</f>
        <v>52.5</v>
      </c>
      <c r="J26" s="412"/>
      <c r="K26" s="413"/>
      <c r="L26" s="417">
        <f t="shared" si="0"/>
        <v>-28.5</v>
      </c>
      <c r="M26" s="417"/>
      <c r="N26" s="428">
        <f t="shared" si="1"/>
        <v>64.81481481481481</v>
      </c>
      <c r="O26" s="429"/>
    </row>
    <row r="27" spans="1:17" s="210" customFormat="1">
      <c r="A27" s="407" t="s">
        <v>195</v>
      </c>
      <c r="B27" s="407"/>
      <c r="C27" s="411">
        <f>C21</f>
        <v>1492.4</v>
      </c>
      <c r="D27" s="412"/>
      <c r="E27" s="413"/>
      <c r="F27" s="411">
        <f>F21</f>
        <v>1655.3</v>
      </c>
      <c r="G27" s="412"/>
      <c r="H27" s="413"/>
      <c r="I27" s="411">
        <f>I21</f>
        <v>1659.1</v>
      </c>
      <c r="J27" s="412"/>
      <c r="K27" s="413"/>
      <c r="L27" s="417">
        <f t="shared" si="0"/>
        <v>3.7999999999999545</v>
      </c>
      <c r="M27" s="417"/>
      <c r="N27" s="428">
        <f t="shared" si="1"/>
        <v>100.22956563764876</v>
      </c>
      <c r="O27" s="429"/>
    </row>
    <row r="28" spans="1:17" s="210" customFormat="1">
      <c r="A28" s="407" t="s">
        <v>196</v>
      </c>
      <c r="B28" s="407"/>
      <c r="C28" s="411">
        <f>C22</f>
        <v>3574.2</v>
      </c>
      <c r="D28" s="412"/>
      <c r="E28" s="413"/>
      <c r="F28" s="411">
        <f>F22</f>
        <v>4026.6</v>
      </c>
      <c r="G28" s="412"/>
      <c r="H28" s="413"/>
      <c r="I28" s="411">
        <f>I22</f>
        <v>4076.8</v>
      </c>
      <c r="J28" s="412"/>
      <c r="K28" s="413"/>
      <c r="L28" s="417">
        <f t="shared" si="0"/>
        <v>50.200000000000273</v>
      </c>
      <c r="M28" s="417"/>
      <c r="N28" s="428">
        <f t="shared" si="1"/>
        <v>101.24670938260567</v>
      </c>
      <c r="O28" s="429"/>
    </row>
    <row r="29" spans="1:17" s="210" customFormat="1" ht="56.25" customHeight="1">
      <c r="A29" s="404" t="s">
        <v>403</v>
      </c>
      <c r="B29" s="404"/>
      <c r="C29" s="408">
        <f>(C23/C11)/3*1000</f>
        <v>7613.333333333333</v>
      </c>
      <c r="D29" s="409"/>
      <c r="E29" s="410"/>
      <c r="F29" s="408">
        <f>(F23/F11)/3*1000</f>
        <v>8499.8525073746314</v>
      </c>
      <c r="G29" s="409"/>
      <c r="H29" s="410"/>
      <c r="I29" s="408">
        <f>(I23/I11)/3*1000</f>
        <v>8691.2912912912907</v>
      </c>
      <c r="J29" s="409"/>
      <c r="K29" s="410"/>
      <c r="L29" s="421">
        <f t="shared" si="0"/>
        <v>191.4387839166593</v>
      </c>
      <c r="M29" s="421"/>
      <c r="N29" s="430">
        <f t="shared" si="1"/>
        <v>102.25226006863724</v>
      </c>
      <c r="O29" s="431"/>
    </row>
    <row r="30" spans="1:17" s="234" customFormat="1" ht="17.7" customHeight="1">
      <c r="A30" s="416" t="s">
        <v>510</v>
      </c>
      <c r="B30" s="406"/>
      <c r="C30" s="239"/>
      <c r="D30" s="240"/>
      <c r="E30" s="241"/>
      <c r="F30" s="239"/>
      <c r="G30" s="240"/>
      <c r="H30" s="241"/>
      <c r="I30" s="264"/>
      <c r="J30" s="265"/>
      <c r="K30" s="266"/>
      <c r="L30" s="236"/>
      <c r="M30" s="236"/>
      <c r="N30" s="237"/>
      <c r="O30" s="238"/>
    </row>
    <row r="31" spans="1:17" s="234" customFormat="1" ht="18.75" customHeight="1">
      <c r="A31" s="416" t="s">
        <v>511</v>
      </c>
      <c r="B31" s="406"/>
      <c r="C31" s="239"/>
      <c r="D31" s="240"/>
      <c r="E31" s="241"/>
      <c r="F31" s="239"/>
      <c r="G31" s="240"/>
      <c r="H31" s="241"/>
      <c r="I31" s="264"/>
      <c r="J31" s="265"/>
      <c r="K31" s="266"/>
      <c r="L31" s="236"/>
      <c r="M31" s="236"/>
      <c r="N31" s="237"/>
      <c r="O31" s="238"/>
    </row>
    <row r="32" spans="1:17" s="210" customFormat="1">
      <c r="A32" s="405" t="s">
        <v>515</v>
      </c>
      <c r="B32" s="406"/>
      <c r="C32" s="411">
        <v>24138</v>
      </c>
      <c r="D32" s="412"/>
      <c r="E32" s="413"/>
      <c r="F32" s="411">
        <f>(F26/F14)/3*1000</f>
        <v>27000</v>
      </c>
      <c r="G32" s="412"/>
      <c r="H32" s="413"/>
      <c r="I32" s="411">
        <f>(I26/I14)/3*1000</f>
        <v>17500</v>
      </c>
      <c r="J32" s="412"/>
      <c r="K32" s="413"/>
      <c r="L32" s="417">
        <f t="shared" si="0"/>
        <v>-9500</v>
      </c>
      <c r="M32" s="417"/>
      <c r="N32" s="428">
        <f t="shared" si="1"/>
        <v>64.81481481481481</v>
      </c>
      <c r="O32" s="429"/>
    </row>
    <row r="33" spans="1:15" s="249" customFormat="1">
      <c r="A33" s="414" t="s">
        <v>516</v>
      </c>
      <c r="B33" s="415"/>
      <c r="C33" s="244"/>
      <c r="D33" s="245"/>
      <c r="E33" s="246">
        <v>11890</v>
      </c>
      <c r="F33" s="244"/>
      <c r="G33" s="245"/>
      <c r="H33" s="246">
        <v>17677</v>
      </c>
      <c r="I33" s="244"/>
      <c r="J33" s="245"/>
      <c r="K33" s="246">
        <v>15000</v>
      </c>
      <c r="L33" s="417">
        <f>K33-H33</f>
        <v>-2677</v>
      </c>
      <c r="M33" s="417"/>
      <c r="N33" s="247"/>
      <c r="O33" s="248">
        <f>K33/H33*100</f>
        <v>84.856027606494308</v>
      </c>
    </row>
    <row r="34" spans="1:15" s="249" customFormat="1">
      <c r="A34" s="414" t="s">
        <v>517</v>
      </c>
      <c r="B34" s="415"/>
      <c r="C34" s="244"/>
      <c r="D34" s="245"/>
      <c r="E34" s="246">
        <v>11333.3</v>
      </c>
      <c r="F34" s="244"/>
      <c r="G34" s="245"/>
      <c r="H34" s="246">
        <v>9323</v>
      </c>
      <c r="I34" s="244"/>
      <c r="J34" s="245"/>
      <c r="K34" s="246">
        <v>2500</v>
      </c>
      <c r="L34" s="417">
        <f t="shared" ref="L34:L35" si="2">K34-H34</f>
        <v>-6823</v>
      </c>
      <c r="M34" s="417"/>
      <c r="N34" s="247"/>
      <c r="O34" s="248">
        <f t="shared" ref="O34" si="3">K34/H34*100</f>
        <v>26.815402767349568</v>
      </c>
    </row>
    <row r="35" spans="1:15" s="249" customFormat="1">
      <c r="A35" s="414" t="s">
        <v>518</v>
      </c>
      <c r="B35" s="415"/>
      <c r="C35" s="244"/>
      <c r="D35" s="245"/>
      <c r="E35" s="246">
        <v>914.7</v>
      </c>
      <c r="F35" s="244"/>
      <c r="G35" s="245"/>
      <c r="H35" s="246">
        <v>0</v>
      </c>
      <c r="I35" s="244"/>
      <c r="J35" s="245"/>
      <c r="K35" s="246">
        <v>0</v>
      </c>
      <c r="L35" s="417">
        <f t="shared" si="2"/>
        <v>0</v>
      </c>
      <c r="M35" s="417"/>
      <c r="N35" s="247"/>
      <c r="O35" s="248"/>
    </row>
    <row r="36" spans="1:15" s="210" customFormat="1">
      <c r="A36" s="407" t="s">
        <v>195</v>
      </c>
      <c r="B36" s="407"/>
      <c r="C36" s="411">
        <f>(C27/C15)/3*1000</f>
        <v>10584.39716312057</v>
      </c>
      <c r="D36" s="412"/>
      <c r="E36" s="413"/>
      <c r="F36" s="411">
        <f>(F27/F15)/3*1000</f>
        <v>11495.138888888889</v>
      </c>
      <c r="G36" s="412"/>
      <c r="H36" s="413"/>
      <c r="I36" s="411">
        <f>(I27/I15)/3*1000</f>
        <v>12289.62962962963</v>
      </c>
      <c r="J36" s="412"/>
      <c r="K36" s="413"/>
      <c r="L36" s="417">
        <f t="shared" si="0"/>
        <v>794.49074074074088</v>
      </c>
      <c r="M36" s="417"/>
      <c r="N36" s="428">
        <f t="shared" si="1"/>
        <v>106.91153668015869</v>
      </c>
      <c r="O36" s="429"/>
    </row>
    <row r="37" spans="1:15" s="210" customFormat="1">
      <c r="A37" s="407" t="s">
        <v>524</v>
      </c>
      <c r="B37" s="407"/>
      <c r="C37" s="411">
        <f>(C28/C16)/3*1000</f>
        <v>6731.073446327684</v>
      </c>
      <c r="D37" s="412"/>
      <c r="E37" s="413"/>
      <c r="F37" s="411">
        <f>(F28/F16)/3*1000</f>
        <v>7583.0508474576272</v>
      </c>
      <c r="G37" s="412"/>
      <c r="H37" s="413"/>
      <c r="I37" s="411">
        <f>(I28/I16)/3*1000</f>
        <v>7721.2121212121219</v>
      </c>
      <c r="J37" s="412"/>
      <c r="K37" s="413"/>
      <c r="L37" s="417">
        <f t="shared" si="0"/>
        <v>138.16127375449469</v>
      </c>
      <c r="M37" s="417"/>
      <c r="N37" s="428">
        <f t="shared" si="1"/>
        <v>101.82197477682502</v>
      </c>
      <c r="O37" s="429"/>
    </row>
    <row r="38" spans="1:15" s="210" customFormat="1" ht="13.65" customHeight="1">
      <c r="A38" s="27"/>
      <c r="B38" s="27"/>
      <c r="C38" s="27"/>
      <c r="D38" s="84"/>
      <c r="E38" s="133">
        <f>E33+E34+E35</f>
        <v>24138</v>
      </c>
      <c r="F38" s="84"/>
      <c r="G38" s="84"/>
      <c r="H38" s="84">
        <f>H33+H34+H35</f>
        <v>27000</v>
      </c>
      <c r="I38" s="84"/>
      <c r="J38" s="84"/>
      <c r="K38" s="84">
        <f>K33+K34+K35</f>
        <v>17500</v>
      </c>
      <c r="L38" s="84"/>
      <c r="M38" s="84"/>
      <c r="N38" s="133"/>
      <c r="O38" s="133"/>
    </row>
    <row r="39" spans="1:15">
      <c r="A39" s="458" t="s">
        <v>404</v>
      </c>
      <c r="B39" s="458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</row>
    <row r="40" spans="1:15" ht="11.25" customHeight="1">
      <c r="A40" s="23"/>
      <c r="B40" s="23"/>
      <c r="C40" s="23"/>
      <c r="D40" s="23"/>
      <c r="E40" s="23"/>
      <c r="F40" s="23"/>
      <c r="G40" s="23"/>
      <c r="H40" s="23"/>
      <c r="I40" s="23"/>
    </row>
    <row r="41" spans="1:15" ht="15.6" customHeight="1">
      <c r="A41" s="424" t="s">
        <v>197</v>
      </c>
      <c r="B41" s="424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</row>
    <row r="42" spans="1:15" ht="12.75" customHeight="1"/>
    <row r="43" spans="1:15" ht="24.9" customHeight="1">
      <c r="A43" s="214" t="s">
        <v>113</v>
      </c>
      <c r="B43" s="442" t="s">
        <v>214</v>
      </c>
      <c r="C43" s="443"/>
      <c r="D43" s="443"/>
      <c r="E43" s="443"/>
      <c r="F43" s="384" t="s">
        <v>73</v>
      </c>
      <c r="G43" s="384"/>
      <c r="H43" s="384"/>
      <c r="I43" s="384"/>
      <c r="J43" s="384"/>
      <c r="K43" s="384"/>
      <c r="L43" s="384"/>
      <c r="M43" s="384"/>
      <c r="N43" s="384"/>
      <c r="O43" s="384"/>
    </row>
    <row r="44" spans="1:15" ht="17.25" customHeight="1">
      <c r="A44" s="214"/>
      <c r="B44" s="442"/>
      <c r="C44" s="443"/>
      <c r="D44" s="443"/>
      <c r="E44" s="443"/>
      <c r="F44" s="384"/>
      <c r="G44" s="384"/>
      <c r="H44" s="384"/>
      <c r="I44" s="384"/>
      <c r="J44" s="384"/>
      <c r="K44" s="384"/>
      <c r="L44" s="384"/>
      <c r="M44" s="384"/>
      <c r="N44" s="384"/>
      <c r="O44" s="384"/>
    </row>
    <row r="45" spans="1:15">
      <c r="A45" s="424" t="s">
        <v>170</v>
      </c>
      <c r="B45" s="424"/>
      <c r="C45" s="424"/>
      <c r="D45" s="424"/>
      <c r="E45" s="424"/>
      <c r="F45" s="424"/>
      <c r="G45" s="424"/>
      <c r="H45" s="424"/>
      <c r="I45" s="424"/>
      <c r="J45" s="424"/>
    </row>
    <row r="46" spans="1:15">
      <c r="A46" s="19"/>
    </row>
    <row r="47" spans="1:15" ht="52.5" customHeight="1">
      <c r="A47" s="461" t="s">
        <v>273</v>
      </c>
      <c r="B47" s="462"/>
      <c r="C47" s="463"/>
      <c r="D47" s="382" t="s">
        <v>162</v>
      </c>
      <c r="E47" s="382"/>
      <c r="F47" s="382"/>
      <c r="G47" s="382" t="s">
        <v>157</v>
      </c>
      <c r="H47" s="382"/>
      <c r="I47" s="382"/>
      <c r="J47" s="382" t="s">
        <v>193</v>
      </c>
      <c r="K47" s="382"/>
      <c r="L47" s="382"/>
      <c r="M47" s="426" t="s">
        <v>194</v>
      </c>
      <c r="N47" s="432"/>
      <c r="O47" s="427"/>
    </row>
    <row r="48" spans="1:15" ht="155.25" customHeight="1">
      <c r="A48" s="464"/>
      <c r="B48" s="465"/>
      <c r="C48" s="466"/>
      <c r="D48" s="206" t="s">
        <v>405</v>
      </c>
      <c r="E48" s="206" t="s">
        <v>209</v>
      </c>
      <c r="F48" s="206" t="s">
        <v>406</v>
      </c>
      <c r="G48" s="206" t="s">
        <v>405</v>
      </c>
      <c r="H48" s="206" t="s">
        <v>209</v>
      </c>
      <c r="I48" s="206" t="s">
        <v>406</v>
      </c>
      <c r="J48" s="206" t="s">
        <v>405</v>
      </c>
      <c r="K48" s="206" t="s">
        <v>209</v>
      </c>
      <c r="L48" s="206" t="s">
        <v>406</v>
      </c>
      <c r="M48" s="90" t="s">
        <v>163</v>
      </c>
      <c r="N48" s="90" t="s">
        <v>164</v>
      </c>
      <c r="O48" s="90" t="s">
        <v>228</v>
      </c>
    </row>
    <row r="49" spans="1:15">
      <c r="A49" s="426">
        <v>1</v>
      </c>
      <c r="B49" s="432"/>
      <c r="C49" s="427"/>
      <c r="D49" s="206">
        <v>2</v>
      </c>
      <c r="E49" s="206">
        <v>3</v>
      </c>
      <c r="F49" s="206">
        <v>4</v>
      </c>
      <c r="G49" s="206">
        <v>5</v>
      </c>
      <c r="H49" s="207">
        <v>6</v>
      </c>
      <c r="I49" s="207">
        <v>7</v>
      </c>
      <c r="J49" s="207">
        <v>8</v>
      </c>
      <c r="K49" s="207">
        <v>9</v>
      </c>
      <c r="L49" s="207">
        <v>10</v>
      </c>
      <c r="M49" s="207">
        <v>11</v>
      </c>
      <c r="N49" s="207">
        <v>12</v>
      </c>
      <c r="O49" s="207">
        <v>13</v>
      </c>
    </row>
    <row r="50" spans="1:15">
      <c r="A50" s="405" t="s">
        <v>485</v>
      </c>
      <c r="B50" s="378"/>
      <c r="C50" s="457"/>
      <c r="D50" s="211">
        <f>12927+387.5</f>
        <v>13314.5</v>
      </c>
      <c r="E50" s="219" t="s">
        <v>556</v>
      </c>
      <c r="F50" s="308">
        <f>D50/3/(975.7+51.7)</f>
        <v>4.3198040360781258</v>
      </c>
      <c r="G50" s="260">
        <v>12719.9</v>
      </c>
      <c r="H50" s="263" t="s">
        <v>556</v>
      </c>
      <c r="I50" s="308">
        <f>G50/3/(975.7+51.7)</f>
        <v>4.1268898838491976</v>
      </c>
      <c r="J50" s="211">
        <f t="shared" ref="J50:L53" si="4">G50-D50</f>
        <v>-594.60000000000036</v>
      </c>
      <c r="K50" s="219"/>
      <c r="L50" s="308">
        <f>I50-F50</f>
        <v>-0.19291415222892816</v>
      </c>
      <c r="M50" s="113">
        <f t="shared" ref="M50:M54" si="5">(G50/D50)*100</f>
        <v>95.534192046265346</v>
      </c>
      <c r="N50" s="289">
        <v>100</v>
      </c>
      <c r="O50" s="211">
        <f>I50/F50*100</f>
        <v>95.534192046265332</v>
      </c>
    </row>
    <row r="51" spans="1:15">
      <c r="A51" s="405" t="s">
        <v>495</v>
      </c>
      <c r="B51" s="378"/>
      <c r="C51" s="457"/>
      <c r="D51" s="211">
        <v>636.20000000000005</v>
      </c>
      <c r="E51" s="219" t="s">
        <v>496</v>
      </c>
      <c r="F51" s="211"/>
      <c r="G51" s="260">
        <v>770.1</v>
      </c>
      <c r="H51" s="263" t="s">
        <v>496</v>
      </c>
      <c r="I51" s="260"/>
      <c r="J51" s="211">
        <f t="shared" si="4"/>
        <v>133.89999999999998</v>
      </c>
      <c r="K51" s="219"/>
      <c r="L51" s="211">
        <f t="shared" si="4"/>
        <v>0</v>
      </c>
      <c r="M51" s="113">
        <f t="shared" si="5"/>
        <v>121.04684061615845</v>
      </c>
      <c r="N51" s="219"/>
      <c r="O51" s="211"/>
    </row>
    <row r="52" spans="1:15" ht="20.100000000000001" customHeight="1">
      <c r="A52" s="405"/>
      <c r="B52" s="378"/>
      <c r="C52" s="457"/>
      <c r="D52" s="211"/>
      <c r="E52" s="219"/>
      <c r="F52" s="211"/>
      <c r="G52" s="260"/>
      <c r="H52" s="263"/>
      <c r="I52" s="260"/>
      <c r="J52" s="219">
        <f t="shared" si="4"/>
        <v>0</v>
      </c>
      <c r="K52" s="219">
        <f t="shared" si="4"/>
        <v>0</v>
      </c>
      <c r="L52" s="211">
        <f t="shared" si="4"/>
        <v>0</v>
      </c>
      <c r="M52" s="113"/>
      <c r="N52" s="219"/>
      <c r="O52" s="211"/>
    </row>
    <row r="53" spans="1:15" ht="20.100000000000001" customHeight="1">
      <c r="A53" s="405"/>
      <c r="B53" s="378"/>
      <c r="C53" s="457"/>
      <c r="D53" s="211"/>
      <c r="E53" s="219"/>
      <c r="F53" s="211"/>
      <c r="G53" s="260"/>
      <c r="H53" s="263"/>
      <c r="I53" s="260"/>
      <c r="J53" s="219">
        <f t="shared" si="4"/>
        <v>0</v>
      </c>
      <c r="K53" s="219">
        <f t="shared" si="4"/>
        <v>0</v>
      </c>
      <c r="L53" s="211">
        <f t="shared" si="4"/>
        <v>0</v>
      </c>
      <c r="M53" s="113"/>
      <c r="N53" s="219"/>
      <c r="O53" s="211"/>
    </row>
    <row r="54" spans="1:15" ht="24.9" customHeight="1">
      <c r="A54" s="454" t="s">
        <v>50</v>
      </c>
      <c r="B54" s="455"/>
      <c r="C54" s="456"/>
      <c r="D54" s="217">
        <f>SUM(D50:D53)</f>
        <v>13950.7</v>
      </c>
      <c r="E54" s="135"/>
      <c r="F54" s="217"/>
      <c r="G54" s="262">
        <f>SUM(G50:G53)</f>
        <v>13490</v>
      </c>
      <c r="H54" s="267"/>
      <c r="I54" s="262"/>
      <c r="J54" s="135"/>
      <c r="K54" s="135"/>
      <c r="L54" s="217"/>
      <c r="M54" s="113">
        <f t="shared" si="5"/>
        <v>96.697656748406885</v>
      </c>
      <c r="N54" s="135"/>
      <c r="O54" s="217"/>
    </row>
    <row r="55" spans="1:15">
      <c r="A55" s="21"/>
      <c r="B55" s="22"/>
      <c r="C55" s="22"/>
      <c r="D55" s="231">
        <f>'I. Фін результат'!E7</f>
        <v>13950.7</v>
      </c>
      <c r="E55" s="22"/>
      <c r="F55" s="204"/>
      <c r="G55" s="230">
        <f>'I. Фін результат'!F7</f>
        <v>13490</v>
      </c>
      <c r="H55" s="204"/>
      <c r="I55" s="213"/>
      <c r="J55" s="213"/>
      <c r="K55" s="213"/>
      <c r="L55" s="213"/>
      <c r="M55" s="213"/>
      <c r="N55" s="213"/>
      <c r="O55" s="213"/>
    </row>
    <row r="56" spans="1:15">
      <c r="A56" s="424" t="s">
        <v>65</v>
      </c>
      <c r="B56" s="424"/>
      <c r="C56" s="424"/>
      <c r="D56" s="424"/>
      <c r="E56" s="424"/>
      <c r="F56" s="424"/>
      <c r="G56" s="424"/>
      <c r="H56" s="424"/>
      <c r="I56" s="424"/>
      <c r="J56" s="424"/>
      <c r="K56" s="424"/>
      <c r="L56" s="424"/>
      <c r="M56" s="424"/>
      <c r="N56" s="424"/>
      <c r="O56" s="424"/>
    </row>
    <row r="57" spans="1:15">
      <c r="A57" s="19"/>
    </row>
    <row r="58" spans="1:15" ht="56.25" customHeight="1">
      <c r="A58" s="206" t="s">
        <v>105</v>
      </c>
      <c r="B58" s="382" t="s">
        <v>64</v>
      </c>
      <c r="C58" s="382"/>
      <c r="D58" s="382" t="s">
        <v>59</v>
      </c>
      <c r="E58" s="382"/>
      <c r="F58" s="382" t="s">
        <v>60</v>
      </c>
      <c r="G58" s="382"/>
      <c r="H58" s="382" t="s">
        <v>77</v>
      </c>
      <c r="I58" s="382"/>
      <c r="J58" s="382"/>
      <c r="K58" s="426" t="s">
        <v>74</v>
      </c>
      <c r="L58" s="427"/>
      <c r="M58" s="426" t="s">
        <v>31</v>
      </c>
      <c r="N58" s="432"/>
      <c r="O58" s="427"/>
    </row>
    <row r="59" spans="1:15">
      <c r="A59" s="207">
        <v>1</v>
      </c>
      <c r="B59" s="384">
        <v>2</v>
      </c>
      <c r="C59" s="384"/>
      <c r="D59" s="384">
        <v>3</v>
      </c>
      <c r="E59" s="384"/>
      <c r="F59" s="384">
        <v>4</v>
      </c>
      <c r="G59" s="384"/>
      <c r="H59" s="384">
        <v>5</v>
      </c>
      <c r="I59" s="384"/>
      <c r="J59" s="384"/>
      <c r="K59" s="384">
        <v>6</v>
      </c>
      <c r="L59" s="384"/>
      <c r="M59" s="442">
        <v>7</v>
      </c>
      <c r="N59" s="443"/>
      <c r="O59" s="444"/>
    </row>
    <row r="60" spans="1:15">
      <c r="A60" s="212"/>
      <c r="B60" s="448"/>
      <c r="C60" s="448"/>
      <c r="D60" s="440"/>
      <c r="E60" s="440"/>
      <c r="F60" s="380" t="s">
        <v>175</v>
      </c>
      <c r="G60" s="380"/>
      <c r="H60" s="449"/>
      <c r="I60" s="449"/>
      <c r="J60" s="449"/>
      <c r="K60" s="418"/>
      <c r="L60" s="420"/>
      <c r="M60" s="440"/>
      <c r="N60" s="440"/>
      <c r="O60" s="440"/>
    </row>
    <row r="61" spans="1:15">
      <c r="A61" s="212"/>
      <c r="B61" s="450"/>
      <c r="C61" s="451"/>
      <c r="D61" s="437"/>
      <c r="E61" s="439"/>
      <c r="F61" s="467"/>
      <c r="G61" s="468"/>
      <c r="H61" s="445"/>
      <c r="I61" s="446"/>
      <c r="J61" s="447"/>
      <c r="K61" s="418"/>
      <c r="L61" s="420"/>
      <c r="M61" s="437"/>
      <c r="N61" s="438"/>
      <c r="O61" s="439"/>
    </row>
    <row r="62" spans="1:15">
      <c r="A62" s="212"/>
      <c r="B62" s="459"/>
      <c r="C62" s="460"/>
      <c r="D62" s="437"/>
      <c r="E62" s="439"/>
      <c r="F62" s="467"/>
      <c r="G62" s="468"/>
      <c r="H62" s="445"/>
      <c r="I62" s="446"/>
      <c r="J62" s="447"/>
      <c r="K62" s="418"/>
      <c r="L62" s="420"/>
      <c r="M62" s="437"/>
      <c r="N62" s="438"/>
      <c r="O62" s="439"/>
    </row>
    <row r="63" spans="1:15">
      <c r="A63" s="212"/>
      <c r="B63" s="448"/>
      <c r="C63" s="448"/>
      <c r="D63" s="440"/>
      <c r="E63" s="440"/>
      <c r="F63" s="380"/>
      <c r="G63" s="380"/>
      <c r="H63" s="449"/>
      <c r="I63" s="449"/>
      <c r="J63" s="449"/>
      <c r="K63" s="418"/>
      <c r="L63" s="420"/>
      <c r="M63" s="440"/>
      <c r="N63" s="440"/>
      <c r="O63" s="440"/>
    </row>
    <row r="64" spans="1:15">
      <c r="A64" s="209" t="s">
        <v>50</v>
      </c>
      <c r="B64" s="453" t="s">
        <v>32</v>
      </c>
      <c r="C64" s="453"/>
      <c r="D64" s="453" t="s">
        <v>32</v>
      </c>
      <c r="E64" s="453"/>
      <c r="F64" s="453" t="s">
        <v>32</v>
      </c>
      <c r="G64" s="453"/>
      <c r="H64" s="441"/>
      <c r="I64" s="441"/>
      <c r="J64" s="441"/>
      <c r="K64" s="433">
        <f>SUM(K60:L63)</f>
        <v>0</v>
      </c>
      <c r="L64" s="435"/>
      <c r="M64" s="452"/>
      <c r="N64" s="452"/>
      <c r="O64" s="452"/>
    </row>
    <row r="65" spans="1:15">
      <c r="A65" s="204"/>
      <c r="B65" s="203"/>
      <c r="C65" s="203"/>
      <c r="D65" s="203"/>
      <c r="E65" s="203"/>
      <c r="F65" s="203"/>
      <c r="G65" s="203"/>
      <c r="H65" s="203"/>
      <c r="I65" s="203"/>
      <c r="J65" s="203"/>
      <c r="K65" s="210"/>
      <c r="L65" s="210"/>
      <c r="M65" s="210"/>
      <c r="N65" s="210"/>
      <c r="O65" s="210"/>
    </row>
    <row r="66" spans="1:15">
      <c r="A66" s="424" t="s">
        <v>66</v>
      </c>
      <c r="B66" s="424"/>
      <c r="C66" s="424"/>
      <c r="D66" s="424"/>
      <c r="E66" s="424"/>
      <c r="F66" s="424"/>
      <c r="G66" s="424"/>
      <c r="H66" s="424"/>
      <c r="I66" s="424"/>
      <c r="J66" s="424"/>
      <c r="K66" s="424"/>
      <c r="L66" s="424"/>
      <c r="M66" s="424"/>
      <c r="N66" s="424"/>
      <c r="O66" s="424"/>
    </row>
    <row r="67" spans="1:15" ht="15" customHeight="1">
      <c r="A67" s="213"/>
      <c r="B67" s="17"/>
      <c r="C67" s="213"/>
      <c r="D67" s="213"/>
      <c r="E67" s="213"/>
      <c r="F67" s="213"/>
      <c r="G67" s="213"/>
      <c r="H67" s="213"/>
      <c r="I67" s="16"/>
    </row>
    <row r="68" spans="1:15" ht="42.75" customHeight="1">
      <c r="A68" s="382" t="s">
        <v>58</v>
      </c>
      <c r="B68" s="382"/>
      <c r="C68" s="382"/>
      <c r="D68" s="382" t="s">
        <v>165</v>
      </c>
      <c r="E68" s="382"/>
      <c r="F68" s="382" t="s">
        <v>166</v>
      </c>
      <c r="G68" s="382"/>
      <c r="H68" s="382"/>
      <c r="I68" s="382"/>
      <c r="J68" s="382" t="s">
        <v>327</v>
      </c>
      <c r="K68" s="382"/>
      <c r="L68" s="382"/>
      <c r="M68" s="382"/>
      <c r="N68" s="382" t="s">
        <v>169</v>
      </c>
      <c r="O68" s="382"/>
    </row>
    <row r="69" spans="1:15" ht="42.75" customHeight="1">
      <c r="A69" s="382"/>
      <c r="B69" s="382"/>
      <c r="C69" s="382"/>
      <c r="D69" s="382"/>
      <c r="E69" s="382"/>
      <c r="F69" s="384" t="s">
        <v>167</v>
      </c>
      <c r="G69" s="384"/>
      <c r="H69" s="382" t="s">
        <v>168</v>
      </c>
      <c r="I69" s="382"/>
      <c r="J69" s="384" t="s">
        <v>167</v>
      </c>
      <c r="K69" s="384"/>
      <c r="L69" s="382" t="s">
        <v>168</v>
      </c>
      <c r="M69" s="382"/>
      <c r="N69" s="382"/>
      <c r="O69" s="382"/>
    </row>
    <row r="70" spans="1:15">
      <c r="A70" s="382">
        <v>1</v>
      </c>
      <c r="B70" s="382"/>
      <c r="C70" s="382"/>
      <c r="D70" s="426">
        <v>2</v>
      </c>
      <c r="E70" s="427"/>
      <c r="F70" s="426">
        <v>3</v>
      </c>
      <c r="G70" s="427"/>
      <c r="H70" s="442">
        <v>4</v>
      </c>
      <c r="I70" s="444"/>
      <c r="J70" s="442">
        <v>5</v>
      </c>
      <c r="K70" s="444"/>
      <c r="L70" s="442">
        <v>6</v>
      </c>
      <c r="M70" s="444"/>
      <c r="N70" s="442">
        <v>7</v>
      </c>
      <c r="O70" s="444"/>
    </row>
    <row r="71" spans="1:15" ht="20.100000000000001" customHeight="1">
      <c r="A71" s="407" t="s">
        <v>206</v>
      </c>
      <c r="B71" s="407"/>
      <c r="C71" s="407"/>
      <c r="D71" s="418"/>
      <c r="E71" s="420"/>
      <c r="F71" s="418"/>
      <c r="G71" s="420"/>
      <c r="H71" s="418"/>
      <c r="I71" s="420"/>
      <c r="J71" s="418"/>
      <c r="K71" s="420"/>
      <c r="L71" s="418"/>
      <c r="M71" s="420"/>
      <c r="N71" s="418">
        <f>D71+H71-L71</f>
        <v>0</v>
      </c>
      <c r="O71" s="420"/>
    </row>
    <row r="72" spans="1:15" ht="20.100000000000001" customHeight="1">
      <c r="A72" s="407" t="s">
        <v>86</v>
      </c>
      <c r="B72" s="407"/>
      <c r="C72" s="407"/>
      <c r="D72" s="418"/>
      <c r="E72" s="420"/>
      <c r="F72" s="418"/>
      <c r="G72" s="420"/>
      <c r="H72" s="418"/>
      <c r="I72" s="420"/>
      <c r="J72" s="418"/>
      <c r="K72" s="420"/>
      <c r="L72" s="418"/>
      <c r="M72" s="420"/>
      <c r="N72" s="418"/>
      <c r="O72" s="420"/>
    </row>
    <row r="73" spans="1:15" ht="20.100000000000001" customHeight="1">
      <c r="A73" s="407"/>
      <c r="B73" s="407"/>
      <c r="C73" s="407"/>
      <c r="D73" s="418"/>
      <c r="E73" s="420"/>
      <c r="F73" s="418"/>
      <c r="G73" s="420"/>
      <c r="H73" s="418"/>
      <c r="I73" s="420"/>
      <c r="J73" s="418"/>
      <c r="K73" s="420"/>
      <c r="L73" s="418"/>
      <c r="M73" s="420"/>
      <c r="N73" s="418"/>
      <c r="O73" s="420"/>
    </row>
    <row r="74" spans="1:15" ht="20.100000000000001" customHeight="1">
      <c r="A74" s="407" t="s">
        <v>207</v>
      </c>
      <c r="B74" s="407"/>
      <c r="C74" s="407"/>
      <c r="D74" s="418"/>
      <c r="E74" s="420"/>
      <c r="F74" s="418"/>
      <c r="G74" s="420"/>
      <c r="H74" s="418"/>
      <c r="I74" s="420"/>
      <c r="J74" s="418"/>
      <c r="K74" s="420"/>
      <c r="L74" s="418"/>
      <c r="M74" s="420"/>
      <c r="N74" s="418">
        <f>D74+H74-L74</f>
        <v>0</v>
      </c>
      <c r="O74" s="420"/>
    </row>
    <row r="75" spans="1:15" ht="20.100000000000001" customHeight="1">
      <c r="A75" s="407" t="s">
        <v>87</v>
      </c>
      <c r="B75" s="407"/>
      <c r="C75" s="407"/>
      <c r="D75" s="418"/>
      <c r="E75" s="420"/>
      <c r="F75" s="418"/>
      <c r="G75" s="420"/>
      <c r="H75" s="418"/>
      <c r="I75" s="420"/>
      <c r="J75" s="418"/>
      <c r="K75" s="420"/>
      <c r="L75" s="418"/>
      <c r="M75" s="420"/>
      <c r="N75" s="418"/>
      <c r="O75" s="420"/>
    </row>
    <row r="76" spans="1:15" ht="20.100000000000001" customHeight="1">
      <c r="A76" s="407"/>
      <c r="B76" s="407"/>
      <c r="C76" s="407"/>
      <c r="D76" s="418"/>
      <c r="E76" s="420"/>
      <c r="F76" s="418"/>
      <c r="G76" s="420"/>
      <c r="H76" s="418"/>
      <c r="I76" s="420"/>
      <c r="J76" s="418"/>
      <c r="K76" s="420"/>
      <c r="L76" s="418"/>
      <c r="M76" s="420"/>
      <c r="N76" s="418"/>
      <c r="O76" s="420"/>
    </row>
    <row r="77" spans="1:15" ht="20.100000000000001" customHeight="1">
      <c r="A77" s="407" t="s">
        <v>208</v>
      </c>
      <c r="B77" s="407"/>
      <c r="C77" s="407"/>
      <c r="D77" s="418"/>
      <c r="E77" s="420"/>
      <c r="F77" s="418"/>
      <c r="G77" s="420"/>
      <c r="H77" s="418"/>
      <c r="I77" s="420"/>
      <c r="J77" s="418"/>
      <c r="K77" s="420"/>
      <c r="L77" s="418"/>
      <c r="M77" s="420"/>
      <c r="N77" s="418">
        <f>D77+H77-L77</f>
        <v>0</v>
      </c>
      <c r="O77" s="420"/>
    </row>
    <row r="78" spans="1:15" ht="20.100000000000001" customHeight="1">
      <c r="A78" s="407" t="s">
        <v>86</v>
      </c>
      <c r="B78" s="407"/>
      <c r="C78" s="407"/>
      <c r="D78" s="418"/>
      <c r="E78" s="420"/>
      <c r="F78" s="418"/>
      <c r="G78" s="420"/>
      <c r="H78" s="418"/>
      <c r="I78" s="420"/>
      <c r="J78" s="418"/>
      <c r="K78" s="420"/>
      <c r="L78" s="418"/>
      <c r="M78" s="420"/>
      <c r="N78" s="418"/>
      <c r="O78" s="420"/>
    </row>
    <row r="79" spans="1:15" ht="20.100000000000001" customHeight="1">
      <c r="A79" s="407"/>
      <c r="B79" s="407"/>
      <c r="C79" s="407"/>
      <c r="D79" s="418"/>
      <c r="E79" s="420"/>
      <c r="F79" s="418"/>
      <c r="G79" s="420"/>
      <c r="H79" s="418"/>
      <c r="I79" s="420"/>
      <c r="J79" s="418"/>
      <c r="K79" s="420"/>
      <c r="L79" s="418"/>
      <c r="M79" s="420"/>
      <c r="N79" s="418"/>
      <c r="O79" s="420"/>
    </row>
    <row r="80" spans="1:15" ht="24.9" customHeight="1">
      <c r="A80" s="404" t="s">
        <v>50</v>
      </c>
      <c r="B80" s="404"/>
      <c r="C80" s="404"/>
      <c r="D80" s="433">
        <f>SUM(D71,D74,D77)</f>
        <v>0</v>
      </c>
      <c r="E80" s="435"/>
      <c r="F80" s="433">
        <f>SUM(F71,F74,F77)</f>
        <v>0</v>
      </c>
      <c r="G80" s="435"/>
      <c r="H80" s="433">
        <f>SUM(H71,H74,H77)</f>
        <v>0</v>
      </c>
      <c r="I80" s="435"/>
      <c r="J80" s="433">
        <f>SUM(J71,J74,J77)</f>
        <v>0</v>
      </c>
      <c r="K80" s="435"/>
      <c r="L80" s="433">
        <f>SUM(L71,L74,L77)</f>
        <v>0</v>
      </c>
      <c r="M80" s="435"/>
      <c r="N80" s="433">
        <f>D80+H80-L80</f>
        <v>0</v>
      </c>
      <c r="O80" s="435"/>
    </row>
    <row r="81" spans="3:5">
      <c r="C81" s="28"/>
      <c r="D81" s="28"/>
      <c r="E81" s="28"/>
    </row>
    <row r="82" spans="3:5">
      <c r="C82" s="28"/>
      <c r="D82" s="28"/>
      <c r="E82" s="28"/>
    </row>
    <row r="83" spans="3:5">
      <c r="C83" s="28"/>
      <c r="D83" s="28"/>
      <c r="E83" s="28"/>
    </row>
  </sheetData>
  <mergeCells count="276">
    <mergeCell ref="B62:C62"/>
    <mergeCell ref="D62:E62"/>
    <mergeCell ref="A47:C48"/>
    <mergeCell ref="M62:O62"/>
    <mergeCell ref="F61:G61"/>
    <mergeCell ref="F62:G62"/>
    <mergeCell ref="H62:J62"/>
    <mergeCell ref="N23:O23"/>
    <mergeCell ref="N26:O26"/>
    <mergeCell ref="N27:O27"/>
    <mergeCell ref="F32:H32"/>
    <mergeCell ref="N36:O36"/>
    <mergeCell ref="N37:O37"/>
    <mergeCell ref="L37:M37"/>
    <mergeCell ref="I36:K36"/>
    <mergeCell ref="I37:K37"/>
    <mergeCell ref="I32:K32"/>
    <mergeCell ref="F37:H37"/>
    <mergeCell ref="N28:O28"/>
    <mergeCell ref="M47:O47"/>
    <mergeCell ref="L28:M28"/>
    <mergeCell ref="F43:O43"/>
    <mergeCell ref="B43:E43"/>
    <mergeCell ref="L36:M36"/>
    <mergeCell ref="F28:H28"/>
    <mergeCell ref="F29:H29"/>
    <mergeCell ref="F23:H23"/>
    <mergeCell ref="F26:H26"/>
    <mergeCell ref="A54:C54"/>
    <mergeCell ref="A49:C49"/>
    <mergeCell ref="A52:C52"/>
    <mergeCell ref="A53:C53"/>
    <mergeCell ref="A50:C50"/>
    <mergeCell ref="A51:C51"/>
    <mergeCell ref="A45:J45"/>
    <mergeCell ref="D47:F47"/>
    <mergeCell ref="J47:L47"/>
    <mergeCell ref="L26:M26"/>
    <mergeCell ref="L27:M27"/>
    <mergeCell ref="A41:O41"/>
    <mergeCell ref="A39:O39"/>
    <mergeCell ref="B44:E44"/>
    <mergeCell ref="A28:B28"/>
    <mergeCell ref="L33:M33"/>
    <mergeCell ref="L34:M34"/>
    <mergeCell ref="L35:M35"/>
    <mergeCell ref="L75:M75"/>
    <mergeCell ref="J75:K75"/>
    <mergeCell ref="B64:C64"/>
    <mergeCell ref="D64:E64"/>
    <mergeCell ref="F64:G64"/>
    <mergeCell ref="D68:E69"/>
    <mergeCell ref="A68:C69"/>
    <mergeCell ref="F68:I68"/>
    <mergeCell ref="F69:G69"/>
    <mergeCell ref="D72:E72"/>
    <mergeCell ref="F72:G72"/>
    <mergeCell ref="H74:I74"/>
    <mergeCell ref="J74:K74"/>
    <mergeCell ref="H72:I72"/>
    <mergeCell ref="H73:I73"/>
    <mergeCell ref="H70:I70"/>
    <mergeCell ref="K64:L64"/>
    <mergeCell ref="J70:K70"/>
    <mergeCell ref="J68:M68"/>
    <mergeCell ref="J69:K69"/>
    <mergeCell ref="L69:M69"/>
    <mergeCell ref="A66:O66"/>
    <mergeCell ref="H71:I71"/>
    <mergeCell ref="L70:M70"/>
    <mergeCell ref="N80:O80"/>
    <mergeCell ref="F79:G79"/>
    <mergeCell ref="H79:I79"/>
    <mergeCell ref="J79:K79"/>
    <mergeCell ref="L79:M79"/>
    <mergeCell ref="N79:O79"/>
    <mergeCell ref="F80:G80"/>
    <mergeCell ref="H80:I80"/>
    <mergeCell ref="N68:O69"/>
    <mergeCell ref="N78:O78"/>
    <mergeCell ref="N76:O76"/>
    <mergeCell ref="N77:O77"/>
    <mergeCell ref="N75:O75"/>
    <mergeCell ref="H75:I75"/>
    <mergeCell ref="N74:O74"/>
    <mergeCell ref="L72:M72"/>
    <mergeCell ref="N72:O72"/>
    <mergeCell ref="N73:O73"/>
    <mergeCell ref="J80:K80"/>
    <mergeCell ref="L80:M80"/>
    <mergeCell ref="L71:M71"/>
    <mergeCell ref="J78:K78"/>
    <mergeCell ref="J72:K72"/>
    <mergeCell ref="L73:M73"/>
    <mergeCell ref="A80:C80"/>
    <mergeCell ref="D73:E73"/>
    <mergeCell ref="F73:G73"/>
    <mergeCell ref="A78:C78"/>
    <mergeCell ref="D76:E76"/>
    <mergeCell ref="F76:G76"/>
    <mergeCell ref="A77:C77"/>
    <mergeCell ref="A76:C76"/>
    <mergeCell ref="A79:C79"/>
    <mergeCell ref="A74:C74"/>
    <mergeCell ref="D79:E79"/>
    <mergeCell ref="D80:E80"/>
    <mergeCell ref="A75:C75"/>
    <mergeCell ref="F75:G75"/>
    <mergeCell ref="D74:E74"/>
    <mergeCell ref="F74:G74"/>
    <mergeCell ref="B63:C63"/>
    <mergeCell ref="D63:E63"/>
    <mergeCell ref="F63:G63"/>
    <mergeCell ref="H63:J63"/>
    <mergeCell ref="B61:C61"/>
    <mergeCell ref="A72:C72"/>
    <mergeCell ref="L78:M78"/>
    <mergeCell ref="D78:E78"/>
    <mergeCell ref="D77:E77"/>
    <mergeCell ref="F77:G77"/>
    <mergeCell ref="H77:I77"/>
    <mergeCell ref="J77:K77"/>
    <mergeCell ref="L77:M77"/>
    <mergeCell ref="J76:K76"/>
    <mergeCell ref="L76:M76"/>
    <mergeCell ref="H76:I76"/>
    <mergeCell ref="H69:I69"/>
    <mergeCell ref="J71:K71"/>
    <mergeCell ref="F78:G78"/>
    <mergeCell ref="H78:I78"/>
    <mergeCell ref="A73:C73"/>
    <mergeCell ref="L74:M74"/>
    <mergeCell ref="D75:E75"/>
    <mergeCell ref="M64:O64"/>
    <mergeCell ref="N70:O70"/>
    <mergeCell ref="F71:G71"/>
    <mergeCell ref="A71:C71"/>
    <mergeCell ref="A70:C70"/>
    <mergeCell ref="D70:E70"/>
    <mergeCell ref="F70:G70"/>
    <mergeCell ref="D71:E71"/>
    <mergeCell ref="N71:O71"/>
    <mergeCell ref="J73:K73"/>
    <mergeCell ref="B59:C59"/>
    <mergeCell ref="F59:G59"/>
    <mergeCell ref="D60:E60"/>
    <mergeCell ref="D59:E59"/>
    <mergeCell ref="M60:O60"/>
    <mergeCell ref="K60:L60"/>
    <mergeCell ref="K59:L59"/>
    <mergeCell ref="B60:C60"/>
    <mergeCell ref="H60:J60"/>
    <mergeCell ref="H59:J59"/>
    <mergeCell ref="K61:L61"/>
    <mergeCell ref="M61:O61"/>
    <mergeCell ref="D61:E61"/>
    <mergeCell ref="M63:O63"/>
    <mergeCell ref="K63:L63"/>
    <mergeCell ref="H64:J64"/>
    <mergeCell ref="K62:L62"/>
    <mergeCell ref="F60:G60"/>
    <mergeCell ref="D58:E58"/>
    <mergeCell ref="M59:O59"/>
    <mergeCell ref="H61:J61"/>
    <mergeCell ref="A56:O56"/>
    <mergeCell ref="F58:G58"/>
    <mergeCell ref="H58:J58"/>
    <mergeCell ref="K58:L58"/>
    <mergeCell ref="M58:O58"/>
    <mergeCell ref="B58:C58"/>
    <mergeCell ref="A1:O1"/>
    <mergeCell ref="A2:O2"/>
    <mergeCell ref="F44:O44"/>
    <mergeCell ref="I14:K14"/>
    <mergeCell ref="F27:H27"/>
    <mergeCell ref="I22:K22"/>
    <mergeCell ref="I23:K23"/>
    <mergeCell ref="I26:K26"/>
    <mergeCell ref="I27:K27"/>
    <mergeCell ref="F22:H22"/>
    <mergeCell ref="L29:M29"/>
    <mergeCell ref="L32:M32"/>
    <mergeCell ref="N29:O29"/>
    <mergeCell ref="N32:O32"/>
    <mergeCell ref="F36:H36"/>
    <mergeCell ref="I28:K28"/>
    <mergeCell ref="I29:K29"/>
    <mergeCell ref="G47:I47"/>
    <mergeCell ref="N22:O22"/>
    <mergeCell ref="A9:B9"/>
    <mergeCell ref="N15:O15"/>
    <mergeCell ref="I10:K10"/>
    <mergeCell ref="I11:K11"/>
    <mergeCell ref="C9:E9"/>
    <mergeCell ref="C10:E10"/>
    <mergeCell ref="N17:O17"/>
    <mergeCell ref="L21:M21"/>
    <mergeCell ref="I21:K21"/>
    <mergeCell ref="I17:K17"/>
    <mergeCell ref="I20:K20"/>
    <mergeCell ref="C21:E21"/>
    <mergeCell ref="C22:E22"/>
    <mergeCell ref="L22:M22"/>
    <mergeCell ref="F15:H15"/>
    <mergeCell ref="F16:H16"/>
    <mergeCell ref="N20:O20"/>
    <mergeCell ref="N21:O21"/>
    <mergeCell ref="C11:E11"/>
    <mergeCell ref="C14:E14"/>
    <mergeCell ref="L15:M15"/>
    <mergeCell ref="F21:H21"/>
    <mergeCell ref="L17:M17"/>
    <mergeCell ref="A3:O3"/>
    <mergeCell ref="A4:O4"/>
    <mergeCell ref="A5:O5"/>
    <mergeCell ref="A7:O7"/>
    <mergeCell ref="L9:M9"/>
    <mergeCell ref="N9:O9"/>
    <mergeCell ref="I9:K9"/>
    <mergeCell ref="N16:O16"/>
    <mergeCell ref="L14:M14"/>
    <mergeCell ref="L16:M16"/>
    <mergeCell ref="N14:O14"/>
    <mergeCell ref="I15:K15"/>
    <mergeCell ref="I16:K16"/>
    <mergeCell ref="L11:M11"/>
    <mergeCell ref="N10:O10"/>
    <mergeCell ref="N11:O11"/>
    <mergeCell ref="L10:M10"/>
    <mergeCell ref="F9:H9"/>
    <mergeCell ref="F10:H10"/>
    <mergeCell ref="F11:H11"/>
    <mergeCell ref="F14:H14"/>
    <mergeCell ref="A10:B10"/>
    <mergeCell ref="A11:B11"/>
    <mergeCell ref="A14:B14"/>
    <mergeCell ref="L20:M20"/>
    <mergeCell ref="F17:H17"/>
    <mergeCell ref="F20:H20"/>
    <mergeCell ref="A15:B15"/>
    <mergeCell ref="A16:B16"/>
    <mergeCell ref="C15:E15"/>
    <mergeCell ref="C16:E16"/>
    <mergeCell ref="A36:B36"/>
    <mergeCell ref="A37:B37"/>
    <mergeCell ref="A22:B22"/>
    <mergeCell ref="A23:B23"/>
    <mergeCell ref="A26:B26"/>
    <mergeCell ref="A27:B27"/>
    <mergeCell ref="C23:E23"/>
    <mergeCell ref="C26:E26"/>
    <mergeCell ref="C27:E27"/>
    <mergeCell ref="C28:E28"/>
    <mergeCell ref="L23:M23"/>
    <mergeCell ref="C29:E29"/>
    <mergeCell ref="C32:E32"/>
    <mergeCell ref="C36:E36"/>
    <mergeCell ref="C37:E37"/>
    <mergeCell ref="A29:B29"/>
    <mergeCell ref="A32:B32"/>
    <mergeCell ref="A17:B17"/>
    <mergeCell ref="A20:B20"/>
    <mergeCell ref="A21:B21"/>
    <mergeCell ref="C17:E17"/>
    <mergeCell ref="C20:E20"/>
    <mergeCell ref="A34:B34"/>
    <mergeCell ref="A35:B35"/>
    <mergeCell ref="A12:B12"/>
    <mergeCell ref="A13:B13"/>
    <mergeCell ref="A18:B18"/>
    <mergeCell ref="A19:B19"/>
    <mergeCell ref="A24:B24"/>
    <mergeCell ref="A25:B25"/>
    <mergeCell ref="A30:B30"/>
    <mergeCell ref="A31:B31"/>
    <mergeCell ref="A33:B33"/>
  </mergeCells>
  <phoneticPr fontId="3" type="noConversion"/>
  <pageMargins left="0.59055118110236227" right="0.59055118110236227" top="0.78740157480314965" bottom="0.78740157480314965" header="0.31496062992125984" footer="0.15748031496062992"/>
  <pageSetup paperSize="9" scale="49" orientation="landscape" horizontalDpi="1200" verticalDpi="1200" r:id="rId1"/>
  <headerFooter alignWithMargins="0">
    <oddHeader xml:space="preserve">&amp;C
&amp;"Times New Roman,обычный"&amp;16 &amp;14 13&amp;R&amp;"Times New Roman,обычный"&amp;14Продовження додатка 3
Таблиця 6  </oddHeader>
  </headerFooter>
  <rowBreaks count="1" manualBreakCount="1">
    <brk id="44" max="14" man="1"/>
  </rowBreaks>
  <ignoredErrors>
    <ignoredError sqref="L36:M37 O36:O37 G37:K37 O11 N36:N37 M50:M51 N11 N14:N17 O14:O17 N20:N23 O20:O23 N26:N29 G29:K29 O26:O29 L29:M29 N32 G32:K32 O32 L32:M32 G36:K36" evalError="1"/>
    <ignoredError sqref="D54:G5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AH77"/>
  <sheetViews>
    <sheetView view="pageBreakPreview" zoomScale="50" zoomScaleNormal="50" zoomScaleSheetLayoutView="50" workbookViewId="0">
      <selection activeCell="AK34" sqref="AK34"/>
    </sheetView>
  </sheetViews>
  <sheetFormatPr defaultColWidth="9.109375" defaultRowHeight="18"/>
  <cols>
    <col min="1" max="2" width="4.44140625" style="138" customWidth="1"/>
    <col min="3" max="3" width="28.6640625" style="138" customWidth="1"/>
    <col min="4" max="6" width="8.44140625" style="138" customWidth="1"/>
    <col min="7" max="9" width="11.33203125" style="138" customWidth="1"/>
    <col min="10" max="10" width="8.6640625" style="138" customWidth="1"/>
    <col min="11" max="11" width="7" style="138" customWidth="1"/>
    <col min="12" max="12" width="9" style="138" customWidth="1"/>
    <col min="13" max="13" width="12.33203125" style="138" customWidth="1"/>
    <col min="14" max="14" width="12.5546875" style="138" customWidth="1"/>
    <col min="15" max="15" width="14.5546875" style="138" customWidth="1"/>
    <col min="16" max="16" width="14" style="138" customWidth="1"/>
    <col min="17" max="17" width="12.5546875" style="138" customWidth="1"/>
    <col min="18" max="18" width="12.33203125" style="138" customWidth="1"/>
    <col min="19" max="19" width="14.5546875" style="138" customWidth="1"/>
    <col min="20" max="20" width="14" style="138" customWidth="1"/>
    <col min="21" max="21" width="12.5546875" style="138" customWidth="1"/>
    <col min="22" max="22" width="12.33203125" style="138" customWidth="1"/>
    <col min="23" max="23" width="14.88671875" style="138" customWidth="1"/>
    <col min="24" max="24" width="14" style="138" customWidth="1"/>
    <col min="25" max="25" width="12.5546875" style="138" customWidth="1"/>
    <col min="26" max="26" width="12.33203125" style="138" customWidth="1"/>
    <col min="27" max="27" width="14.5546875" style="138" customWidth="1"/>
    <col min="28" max="28" width="13.6640625" style="138" customWidth="1"/>
    <col min="29" max="29" width="12.33203125" style="138" customWidth="1"/>
    <col min="30" max="30" width="12" style="138" customWidth="1"/>
    <col min="31" max="31" width="14.5546875" style="138" customWidth="1"/>
    <col min="32" max="32" width="14" style="138" customWidth="1"/>
    <col min="33" max="33" width="9.109375" style="138"/>
    <col min="34" max="34" width="11.77734375" style="138" hidden="1" customWidth="1"/>
    <col min="35" max="16384" width="9.109375" style="138"/>
  </cols>
  <sheetData>
    <row r="1" spans="1:32" ht="18.75" customHeight="1">
      <c r="C1" s="140" t="s">
        <v>313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2" ht="45.75" customHeight="1">
      <c r="A3" s="517" t="s">
        <v>48</v>
      </c>
      <c r="B3" s="478" t="s">
        <v>136</v>
      </c>
      <c r="C3" s="479"/>
      <c r="D3" s="461" t="s">
        <v>137</v>
      </c>
      <c r="E3" s="462"/>
      <c r="F3" s="462"/>
      <c r="G3" s="461" t="s">
        <v>225</v>
      </c>
      <c r="H3" s="462"/>
      <c r="I3" s="462"/>
      <c r="J3" s="462"/>
      <c r="K3" s="462"/>
      <c r="L3" s="462"/>
      <c r="M3" s="462"/>
      <c r="N3" s="462"/>
      <c r="O3" s="462"/>
      <c r="P3" s="462"/>
      <c r="Q3" s="463"/>
      <c r="R3" s="442" t="s">
        <v>138</v>
      </c>
      <c r="S3" s="443"/>
      <c r="T3" s="443"/>
      <c r="U3" s="443"/>
      <c r="V3" s="443"/>
      <c r="W3" s="443"/>
      <c r="X3" s="443"/>
      <c r="Y3" s="443"/>
      <c r="Z3" s="444"/>
      <c r="AA3" s="382" t="s">
        <v>407</v>
      </c>
      <c r="AB3" s="384"/>
      <c r="AC3" s="384"/>
      <c r="AD3" s="382" t="s">
        <v>408</v>
      </c>
      <c r="AE3" s="384"/>
      <c r="AF3" s="384"/>
    </row>
    <row r="4" spans="1:32" ht="77.25" customHeight="1">
      <c r="A4" s="518"/>
      <c r="B4" s="482"/>
      <c r="C4" s="483"/>
      <c r="D4" s="464"/>
      <c r="E4" s="465"/>
      <c r="F4" s="465"/>
      <c r="G4" s="464"/>
      <c r="H4" s="465"/>
      <c r="I4" s="465"/>
      <c r="J4" s="465"/>
      <c r="K4" s="465"/>
      <c r="L4" s="465"/>
      <c r="M4" s="465"/>
      <c r="N4" s="465"/>
      <c r="O4" s="465"/>
      <c r="P4" s="465"/>
      <c r="Q4" s="466"/>
      <c r="R4" s="426" t="s">
        <v>344</v>
      </c>
      <c r="S4" s="432"/>
      <c r="T4" s="427"/>
      <c r="U4" s="426" t="s">
        <v>345</v>
      </c>
      <c r="V4" s="432"/>
      <c r="W4" s="427"/>
      <c r="X4" s="426" t="s">
        <v>346</v>
      </c>
      <c r="Y4" s="432"/>
      <c r="Z4" s="427"/>
      <c r="AA4" s="384"/>
      <c r="AB4" s="384"/>
      <c r="AC4" s="384"/>
      <c r="AD4" s="384"/>
      <c r="AE4" s="384"/>
      <c r="AF4" s="384"/>
    </row>
    <row r="5" spans="1:32" ht="18.75" customHeight="1">
      <c r="A5" s="82">
        <v>1</v>
      </c>
      <c r="B5" s="484">
        <v>2</v>
      </c>
      <c r="C5" s="485"/>
      <c r="D5" s="489">
        <v>3</v>
      </c>
      <c r="E5" s="490"/>
      <c r="F5" s="490"/>
      <c r="G5" s="489">
        <v>4</v>
      </c>
      <c r="H5" s="490"/>
      <c r="I5" s="490"/>
      <c r="J5" s="490"/>
      <c r="K5" s="490"/>
      <c r="L5" s="490"/>
      <c r="M5" s="490"/>
      <c r="N5" s="490"/>
      <c r="O5" s="490"/>
      <c r="P5" s="490"/>
      <c r="Q5" s="491"/>
      <c r="R5" s="489">
        <v>5</v>
      </c>
      <c r="S5" s="490"/>
      <c r="T5" s="491"/>
      <c r="U5" s="489">
        <v>6</v>
      </c>
      <c r="V5" s="490"/>
      <c r="W5" s="491"/>
      <c r="X5" s="521">
        <v>7</v>
      </c>
      <c r="Y5" s="522"/>
      <c r="Z5" s="523"/>
      <c r="AA5" s="521">
        <v>8</v>
      </c>
      <c r="AB5" s="522"/>
      <c r="AC5" s="523"/>
      <c r="AD5" s="521">
        <v>9</v>
      </c>
      <c r="AE5" s="522"/>
      <c r="AF5" s="523"/>
    </row>
    <row r="6" spans="1:32" ht="20.100000000000001" customHeight="1">
      <c r="A6" s="82" t="s">
        <v>486</v>
      </c>
      <c r="B6" s="519" t="s">
        <v>490</v>
      </c>
      <c r="C6" s="520"/>
      <c r="D6" s="503">
        <v>2016</v>
      </c>
      <c r="E6" s="504"/>
      <c r="F6" s="504"/>
      <c r="G6" s="503" t="s">
        <v>487</v>
      </c>
      <c r="H6" s="504"/>
      <c r="I6" s="504"/>
      <c r="J6" s="504"/>
      <c r="K6" s="504"/>
      <c r="L6" s="504"/>
      <c r="M6" s="504"/>
      <c r="N6" s="504"/>
      <c r="O6" s="504"/>
      <c r="P6" s="504"/>
      <c r="Q6" s="505"/>
      <c r="R6" s="411">
        <v>36.9</v>
      </c>
      <c r="S6" s="412"/>
      <c r="T6" s="413"/>
      <c r="U6" s="411"/>
      <c r="V6" s="412"/>
      <c r="W6" s="413"/>
      <c r="X6" s="411"/>
      <c r="Y6" s="412"/>
      <c r="Z6" s="413"/>
      <c r="AA6" s="411">
        <f>X6-U6</f>
        <v>0</v>
      </c>
      <c r="AB6" s="412"/>
      <c r="AC6" s="413"/>
      <c r="AD6" s="411"/>
      <c r="AE6" s="412"/>
      <c r="AF6" s="413"/>
    </row>
    <row r="7" spans="1:32" ht="20.100000000000001" customHeight="1">
      <c r="A7" s="82"/>
      <c r="B7" s="519"/>
      <c r="C7" s="520"/>
      <c r="D7" s="503"/>
      <c r="E7" s="504"/>
      <c r="F7" s="504"/>
      <c r="G7" s="503"/>
      <c r="H7" s="504"/>
      <c r="I7" s="504"/>
      <c r="J7" s="504"/>
      <c r="K7" s="504"/>
      <c r="L7" s="504"/>
      <c r="M7" s="504"/>
      <c r="N7" s="504"/>
      <c r="O7" s="504"/>
      <c r="P7" s="504"/>
      <c r="Q7" s="505"/>
      <c r="R7" s="411"/>
      <c r="S7" s="412"/>
      <c r="T7" s="413"/>
      <c r="U7" s="411"/>
      <c r="V7" s="412"/>
      <c r="W7" s="413"/>
      <c r="X7" s="411"/>
      <c r="Y7" s="412"/>
      <c r="Z7" s="413"/>
      <c r="AA7" s="411">
        <f>X7-U7</f>
        <v>0</v>
      </c>
      <c r="AB7" s="412"/>
      <c r="AC7" s="413"/>
      <c r="AD7" s="411"/>
      <c r="AE7" s="412"/>
      <c r="AF7" s="413"/>
    </row>
    <row r="8" spans="1:32" ht="24.9" customHeight="1">
      <c r="A8" s="506" t="s">
        <v>50</v>
      </c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8"/>
      <c r="R8" s="408">
        <f>SUM(R6:R7)</f>
        <v>36.9</v>
      </c>
      <c r="S8" s="409"/>
      <c r="T8" s="410"/>
      <c r="U8" s="408">
        <f>SUM(U6:U7)</f>
        <v>0</v>
      </c>
      <c r="V8" s="409"/>
      <c r="W8" s="410"/>
      <c r="X8" s="408">
        <f>SUM(X6:X7)</f>
        <v>0</v>
      </c>
      <c r="Y8" s="409"/>
      <c r="Z8" s="410"/>
      <c r="AA8" s="408">
        <f>X8-U8</f>
        <v>0</v>
      </c>
      <c r="AB8" s="409"/>
      <c r="AC8" s="410"/>
      <c r="AD8" s="408"/>
      <c r="AE8" s="409"/>
      <c r="AF8" s="410"/>
    </row>
    <row r="9" spans="1:32" ht="11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5"/>
      <c r="AF9" s="85"/>
    </row>
    <row r="10" spans="1:32" ht="10.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33"/>
      <c r="P10" s="33"/>
      <c r="Q10" s="33"/>
      <c r="R10" s="48"/>
      <c r="S10" s="48"/>
      <c r="T10" s="48"/>
      <c r="U10" s="48"/>
      <c r="V10" s="48"/>
      <c r="W10" s="48"/>
      <c r="X10" s="49"/>
      <c r="Y10" s="49"/>
      <c r="Z10" s="49"/>
      <c r="AA10" s="49"/>
      <c r="AB10" s="49"/>
      <c r="AC10" s="49"/>
      <c r="AD10" s="49"/>
      <c r="AE10" s="86"/>
      <c r="AF10" s="86"/>
    </row>
    <row r="11" spans="1:32" s="140" customFormat="1" ht="18.75" customHeight="1">
      <c r="C11" s="140" t="s">
        <v>314</v>
      </c>
    </row>
    <row r="12" spans="1:32" s="140" customFormat="1" ht="18.75" customHeight="1"/>
    <row r="13" spans="1:32" ht="45.75" customHeight="1">
      <c r="A13" s="396" t="s">
        <v>48</v>
      </c>
      <c r="B13" s="478" t="s">
        <v>139</v>
      </c>
      <c r="C13" s="479"/>
      <c r="D13" s="382" t="s">
        <v>136</v>
      </c>
      <c r="E13" s="382"/>
      <c r="F13" s="382"/>
      <c r="G13" s="382"/>
      <c r="H13" s="461" t="s">
        <v>225</v>
      </c>
      <c r="I13" s="462"/>
      <c r="J13" s="462"/>
      <c r="K13" s="462"/>
      <c r="L13" s="462"/>
      <c r="M13" s="462"/>
      <c r="N13" s="462"/>
      <c r="O13" s="463"/>
      <c r="P13" s="461" t="s">
        <v>343</v>
      </c>
      <c r="Q13" s="463"/>
      <c r="R13" s="442" t="s">
        <v>138</v>
      </c>
      <c r="S13" s="443"/>
      <c r="T13" s="443"/>
      <c r="U13" s="443"/>
      <c r="V13" s="443"/>
      <c r="W13" s="443"/>
      <c r="X13" s="443"/>
      <c r="Y13" s="443"/>
      <c r="Z13" s="444"/>
      <c r="AA13" s="382" t="s">
        <v>407</v>
      </c>
      <c r="AB13" s="384"/>
      <c r="AC13" s="384"/>
      <c r="AD13" s="382" t="s">
        <v>408</v>
      </c>
      <c r="AE13" s="384"/>
      <c r="AF13" s="384"/>
    </row>
    <row r="14" spans="1:32" ht="24.9" customHeight="1">
      <c r="A14" s="396"/>
      <c r="B14" s="480"/>
      <c r="C14" s="481"/>
      <c r="D14" s="382"/>
      <c r="E14" s="382"/>
      <c r="F14" s="382"/>
      <c r="G14" s="382"/>
      <c r="H14" s="475"/>
      <c r="I14" s="476"/>
      <c r="J14" s="476"/>
      <c r="K14" s="476"/>
      <c r="L14" s="476"/>
      <c r="M14" s="476"/>
      <c r="N14" s="476"/>
      <c r="O14" s="477"/>
      <c r="P14" s="475"/>
      <c r="Q14" s="477"/>
      <c r="R14" s="461" t="s">
        <v>344</v>
      </c>
      <c r="S14" s="462"/>
      <c r="T14" s="463"/>
      <c r="U14" s="461" t="s">
        <v>345</v>
      </c>
      <c r="V14" s="462"/>
      <c r="W14" s="463"/>
      <c r="X14" s="461" t="s">
        <v>346</v>
      </c>
      <c r="Y14" s="512"/>
      <c r="Z14" s="513"/>
      <c r="AA14" s="384"/>
      <c r="AB14" s="384"/>
      <c r="AC14" s="384"/>
      <c r="AD14" s="384"/>
      <c r="AE14" s="384"/>
      <c r="AF14" s="384"/>
    </row>
    <row r="15" spans="1:32" ht="48" customHeight="1">
      <c r="A15" s="396"/>
      <c r="B15" s="482"/>
      <c r="C15" s="483"/>
      <c r="D15" s="382"/>
      <c r="E15" s="382"/>
      <c r="F15" s="382"/>
      <c r="G15" s="382"/>
      <c r="H15" s="464"/>
      <c r="I15" s="465"/>
      <c r="J15" s="465"/>
      <c r="K15" s="465"/>
      <c r="L15" s="465"/>
      <c r="M15" s="465"/>
      <c r="N15" s="465"/>
      <c r="O15" s="466"/>
      <c r="P15" s="464"/>
      <c r="Q15" s="466"/>
      <c r="R15" s="464"/>
      <c r="S15" s="465"/>
      <c r="T15" s="466"/>
      <c r="U15" s="464"/>
      <c r="V15" s="465"/>
      <c r="W15" s="466"/>
      <c r="X15" s="514"/>
      <c r="Y15" s="515"/>
      <c r="Z15" s="516"/>
      <c r="AA15" s="384"/>
      <c r="AB15" s="384"/>
      <c r="AC15" s="384"/>
      <c r="AD15" s="384"/>
      <c r="AE15" s="384"/>
      <c r="AF15" s="384"/>
    </row>
    <row r="16" spans="1:32" ht="18.75" customHeight="1">
      <c r="A16" s="55">
        <v>1</v>
      </c>
      <c r="B16" s="484">
        <v>2</v>
      </c>
      <c r="C16" s="485"/>
      <c r="D16" s="494">
        <v>3</v>
      </c>
      <c r="E16" s="494"/>
      <c r="F16" s="494"/>
      <c r="G16" s="494"/>
      <c r="H16" s="489">
        <v>4</v>
      </c>
      <c r="I16" s="490"/>
      <c r="J16" s="490"/>
      <c r="K16" s="490"/>
      <c r="L16" s="490"/>
      <c r="M16" s="490"/>
      <c r="N16" s="490"/>
      <c r="O16" s="491"/>
      <c r="P16" s="489">
        <v>5</v>
      </c>
      <c r="Q16" s="491"/>
      <c r="R16" s="489">
        <v>6</v>
      </c>
      <c r="S16" s="490"/>
      <c r="T16" s="491"/>
      <c r="U16" s="489">
        <v>7</v>
      </c>
      <c r="V16" s="490"/>
      <c r="W16" s="491"/>
      <c r="X16" s="489">
        <v>8</v>
      </c>
      <c r="Y16" s="490"/>
      <c r="Z16" s="491"/>
      <c r="AA16" s="489">
        <v>9</v>
      </c>
      <c r="AB16" s="490"/>
      <c r="AC16" s="491"/>
      <c r="AD16" s="489">
        <v>10</v>
      </c>
      <c r="AE16" s="490"/>
      <c r="AF16" s="491"/>
    </row>
    <row r="17" spans="1:34" ht="20.100000000000001" customHeight="1">
      <c r="A17" s="77" t="s">
        <v>486</v>
      </c>
      <c r="B17" s="492" t="s">
        <v>567</v>
      </c>
      <c r="C17" s="493"/>
      <c r="D17" s="471"/>
      <c r="E17" s="471"/>
      <c r="F17" s="471"/>
      <c r="G17" s="471"/>
      <c r="H17" s="486" t="s">
        <v>568</v>
      </c>
      <c r="I17" s="487"/>
      <c r="J17" s="487"/>
      <c r="K17" s="487"/>
      <c r="L17" s="487"/>
      <c r="M17" s="487"/>
      <c r="N17" s="487"/>
      <c r="O17" s="488"/>
      <c r="P17" s="469" t="s">
        <v>581</v>
      </c>
      <c r="Q17" s="470"/>
      <c r="R17" s="418">
        <v>0</v>
      </c>
      <c r="S17" s="419"/>
      <c r="T17" s="420"/>
      <c r="U17" s="411">
        <f>'I. Фін результат'!E25</f>
        <v>30</v>
      </c>
      <c r="V17" s="412"/>
      <c r="W17" s="413"/>
      <c r="X17" s="411">
        <f>'I. Фін результат'!F25</f>
        <v>12.7</v>
      </c>
      <c r="Y17" s="412"/>
      <c r="Z17" s="413"/>
      <c r="AA17" s="418">
        <f>X17-U17</f>
        <v>-17.3</v>
      </c>
      <c r="AB17" s="419"/>
      <c r="AC17" s="420"/>
      <c r="AD17" s="411"/>
      <c r="AE17" s="412"/>
      <c r="AF17" s="413"/>
    </row>
    <row r="18" spans="1:34" ht="20.100000000000001" customHeight="1">
      <c r="A18" s="77"/>
      <c r="B18" s="492"/>
      <c r="C18" s="493"/>
      <c r="D18" s="471"/>
      <c r="E18" s="471"/>
      <c r="F18" s="471"/>
      <c r="G18" s="471"/>
      <c r="H18" s="486"/>
      <c r="I18" s="487"/>
      <c r="J18" s="487"/>
      <c r="K18" s="487"/>
      <c r="L18" s="487"/>
      <c r="M18" s="487"/>
      <c r="N18" s="487"/>
      <c r="O18" s="488"/>
      <c r="P18" s="469"/>
      <c r="Q18" s="470"/>
      <c r="R18" s="418"/>
      <c r="S18" s="419"/>
      <c r="T18" s="420"/>
      <c r="U18" s="411"/>
      <c r="V18" s="412"/>
      <c r="W18" s="413"/>
      <c r="X18" s="411"/>
      <c r="Y18" s="412"/>
      <c r="Z18" s="413"/>
      <c r="AA18" s="418">
        <f>X18-U18</f>
        <v>0</v>
      </c>
      <c r="AB18" s="419"/>
      <c r="AC18" s="420"/>
      <c r="AD18" s="411"/>
      <c r="AE18" s="412"/>
      <c r="AF18" s="413"/>
    </row>
    <row r="19" spans="1:34" ht="20.100000000000001" customHeight="1">
      <c r="A19" s="77"/>
      <c r="B19" s="492"/>
      <c r="C19" s="493"/>
      <c r="D19" s="471"/>
      <c r="E19" s="471"/>
      <c r="F19" s="471"/>
      <c r="G19" s="471"/>
      <c r="H19" s="486"/>
      <c r="I19" s="487"/>
      <c r="J19" s="487"/>
      <c r="K19" s="487"/>
      <c r="L19" s="487"/>
      <c r="M19" s="487"/>
      <c r="N19" s="487"/>
      <c r="O19" s="488"/>
      <c r="P19" s="469"/>
      <c r="Q19" s="470"/>
      <c r="R19" s="418"/>
      <c r="S19" s="419"/>
      <c r="T19" s="420"/>
      <c r="U19" s="411"/>
      <c r="V19" s="412"/>
      <c r="W19" s="413"/>
      <c r="X19" s="411"/>
      <c r="Y19" s="412"/>
      <c r="Z19" s="413"/>
      <c r="AA19" s="418">
        <f>X19-U19</f>
        <v>0</v>
      </c>
      <c r="AB19" s="419"/>
      <c r="AC19" s="420"/>
      <c r="AD19" s="411"/>
      <c r="AE19" s="412"/>
      <c r="AF19" s="413"/>
    </row>
    <row r="20" spans="1:34" ht="20.100000000000001" customHeight="1">
      <c r="A20" s="77"/>
      <c r="B20" s="492"/>
      <c r="C20" s="493"/>
      <c r="D20" s="471"/>
      <c r="E20" s="471"/>
      <c r="F20" s="471"/>
      <c r="G20" s="471"/>
      <c r="H20" s="486"/>
      <c r="I20" s="487"/>
      <c r="J20" s="487"/>
      <c r="K20" s="487"/>
      <c r="L20" s="487"/>
      <c r="M20" s="487"/>
      <c r="N20" s="487"/>
      <c r="O20" s="488"/>
      <c r="P20" s="469"/>
      <c r="Q20" s="470"/>
      <c r="R20" s="418"/>
      <c r="S20" s="419"/>
      <c r="T20" s="420"/>
      <c r="U20" s="411"/>
      <c r="V20" s="412"/>
      <c r="W20" s="413"/>
      <c r="X20" s="411"/>
      <c r="Y20" s="412"/>
      <c r="Z20" s="413"/>
      <c r="AA20" s="418">
        <f>X20-U20</f>
        <v>0</v>
      </c>
      <c r="AB20" s="419"/>
      <c r="AC20" s="420"/>
      <c r="AD20" s="411"/>
      <c r="AE20" s="412"/>
      <c r="AF20" s="413"/>
    </row>
    <row r="21" spans="1:34" ht="24.9" customHeight="1">
      <c r="A21" s="506" t="s">
        <v>50</v>
      </c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8"/>
      <c r="R21" s="433">
        <f>SUM(R17:R20)</f>
        <v>0</v>
      </c>
      <c r="S21" s="434"/>
      <c r="T21" s="435"/>
      <c r="U21" s="408">
        <f>SUM(U17:U20)</f>
        <v>30</v>
      </c>
      <c r="V21" s="409"/>
      <c r="W21" s="410"/>
      <c r="X21" s="408">
        <f>SUM(X17:X20)</f>
        <v>12.7</v>
      </c>
      <c r="Y21" s="409"/>
      <c r="Z21" s="410"/>
      <c r="AA21" s="433">
        <f>X21-U21</f>
        <v>-17.3</v>
      </c>
      <c r="AB21" s="434"/>
      <c r="AC21" s="435"/>
      <c r="AD21" s="408"/>
      <c r="AE21" s="409"/>
      <c r="AF21" s="410"/>
    </row>
    <row r="22" spans="1:34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R22" s="218"/>
      <c r="S22" s="218"/>
      <c r="T22" s="218"/>
      <c r="U22" s="218"/>
      <c r="V22" s="218"/>
      <c r="AF22" s="218"/>
    </row>
    <row r="23" spans="1:34" ht="16.5" customHeight="1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R23" s="218"/>
      <c r="S23" s="218"/>
      <c r="T23" s="218"/>
      <c r="U23" s="218"/>
      <c r="V23" s="218"/>
      <c r="AF23" s="218"/>
    </row>
    <row r="24" spans="1:34" s="140" customFormat="1" ht="18.75" customHeight="1">
      <c r="C24" s="140" t="s">
        <v>147</v>
      </c>
    </row>
    <row r="25" spans="1:34">
      <c r="A25" s="25"/>
      <c r="B25" s="25"/>
      <c r="C25" s="25"/>
      <c r="D25" s="25"/>
      <c r="E25" s="25"/>
      <c r="F25" s="25"/>
      <c r="G25" s="25"/>
      <c r="H25" s="25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5"/>
      <c r="Z25" s="511"/>
      <c r="AA25" s="511"/>
      <c r="AB25" s="511"/>
      <c r="AD25" s="525" t="s">
        <v>409</v>
      </c>
      <c r="AE25" s="525"/>
      <c r="AF25" s="525"/>
    </row>
    <row r="26" spans="1:34" ht="24.9" customHeight="1">
      <c r="A26" s="517" t="s">
        <v>48</v>
      </c>
      <c r="B26" s="478" t="s">
        <v>171</v>
      </c>
      <c r="C26" s="532"/>
      <c r="D26" s="532"/>
      <c r="E26" s="532"/>
      <c r="F26" s="532"/>
      <c r="G26" s="532"/>
      <c r="H26" s="532"/>
      <c r="I26" s="532"/>
      <c r="J26" s="532"/>
      <c r="K26" s="532"/>
      <c r="L26" s="479"/>
      <c r="M26" s="495" t="s">
        <v>49</v>
      </c>
      <c r="N26" s="496"/>
      <c r="O26" s="496"/>
      <c r="P26" s="497"/>
      <c r="Q26" s="495" t="s">
        <v>75</v>
      </c>
      <c r="R26" s="496"/>
      <c r="S26" s="496"/>
      <c r="T26" s="497"/>
      <c r="U26" s="495" t="s">
        <v>205</v>
      </c>
      <c r="V26" s="496"/>
      <c r="W26" s="496"/>
      <c r="X26" s="497"/>
      <c r="Y26" s="495" t="s">
        <v>106</v>
      </c>
      <c r="Z26" s="496"/>
      <c r="AA26" s="496"/>
      <c r="AB26" s="497"/>
      <c r="AC26" s="495" t="s">
        <v>50</v>
      </c>
      <c r="AD26" s="496"/>
      <c r="AE26" s="496"/>
      <c r="AF26" s="497"/>
    </row>
    <row r="27" spans="1:34" ht="24.9" customHeight="1">
      <c r="A27" s="540"/>
      <c r="B27" s="480"/>
      <c r="C27" s="533"/>
      <c r="D27" s="533"/>
      <c r="E27" s="533"/>
      <c r="F27" s="533"/>
      <c r="G27" s="533"/>
      <c r="H27" s="533"/>
      <c r="I27" s="533"/>
      <c r="J27" s="533"/>
      <c r="K27" s="533"/>
      <c r="L27" s="481"/>
      <c r="M27" s="473" t="s">
        <v>167</v>
      </c>
      <c r="N27" s="473" t="s">
        <v>168</v>
      </c>
      <c r="O27" s="473" t="s">
        <v>187</v>
      </c>
      <c r="P27" s="473" t="s">
        <v>188</v>
      </c>
      <c r="Q27" s="473" t="s">
        <v>167</v>
      </c>
      <c r="R27" s="473" t="s">
        <v>168</v>
      </c>
      <c r="S27" s="473" t="s">
        <v>187</v>
      </c>
      <c r="T27" s="473" t="s">
        <v>188</v>
      </c>
      <c r="U27" s="473" t="s">
        <v>167</v>
      </c>
      <c r="V27" s="473" t="s">
        <v>168</v>
      </c>
      <c r="W27" s="473" t="s">
        <v>187</v>
      </c>
      <c r="X27" s="473" t="s">
        <v>188</v>
      </c>
      <c r="Y27" s="473" t="s">
        <v>167</v>
      </c>
      <c r="Z27" s="473" t="s">
        <v>168</v>
      </c>
      <c r="AA27" s="473" t="s">
        <v>187</v>
      </c>
      <c r="AB27" s="473" t="s">
        <v>188</v>
      </c>
      <c r="AC27" s="473" t="s">
        <v>167</v>
      </c>
      <c r="AD27" s="473" t="s">
        <v>168</v>
      </c>
      <c r="AE27" s="473" t="s">
        <v>187</v>
      </c>
      <c r="AF27" s="473" t="s">
        <v>188</v>
      </c>
    </row>
    <row r="28" spans="1:34" ht="24.9" customHeight="1">
      <c r="A28" s="518"/>
      <c r="B28" s="482"/>
      <c r="C28" s="534"/>
      <c r="D28" s="534"/>
      <c r="E28" s="534"/>
      <c r="F28" s="534"/>
      <c r="G28" s="534"/>
      <c r="H28" s="534"/>
      <c r="I28" s="534"/>
      <c r="J28" s="534"/>
      <c r="K28" s="534"/>
      <c r="L28" s="483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</row>
    <row r="29" spans="1:34" ht="18.75" customHeight="1">
      <c r="A29" s="220">
        <v>1</v>
      </c>
      <c r="B29" s="524">
        <v>2</v>
      </c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216">
        <v>3</v>
      </c>
      <c r="N29" s="216">
        <v>4</v>
      </c>
      <c r="O29" s="216">
        <v>5</v>
      </c>
      <c r="P29" s="216">
        <v>6</v>
      </c>
      <c r="Q29" s="216">
        <v>7</v>
      </c>
      <c r="R29" s="216">
        <v>8</v>
      </c>
      <c r="S29" s="216">
        <v>9</v>
      </c>
      <c r="T29" s="216">
        <v>10</v>
      </c>
      <c r="U29" s="255">
        <v>11</v>
      </c>
      <c r="V29" s="216">
        <v>12</v>
      </c>
      <c r="W29" s="216">
        <v>13</v>
      </c>
      <c r="X29" s="216">
        <v>14</v>
      </c>
      <c r="Y29" s="216">
        <v>15</v>
      </c>
      <c r="Z29" s="216">
        <v>16</v>
      </c>
      <c r="AA29" s="216">
        <v>17</v>
      </c>
      <c r="AB29" s="216">
        <v>18</v>
      </c>
      <c r="AC29" s="216">
        <v>19</v>
      </c>
      <c r="AD29" s="216">
        <v>20</v>
      </c>
      <c r="AE29" s="216">
        <v>21</v>
      </c>
      <c r="AF29" s="216">
        <v>22</v>
      </c>
      <c r="AH29" s="138" t="s">
        <v>554</v>
      </c>
    </row>
    <row r="30" spans="1:34" ht="20.100000000000001" customHeight="1">
      <c r="A30" s="144" t="s">
        <v>486</v>
      </c>
      <c r="B30" s="472" t="s">
        <v>569</v>
      </c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219">
        <v>0</v>
      </c>
      <c r="N30" s="219">
        <v>0</v>
      </c>
      <c r="O30" s="219">
        <f>N30-M30</f>
        <v>0</v>
      </c>
      <c r="P30" s="125"/>
      <c r="Q30" s="211"/>
      <c r="R30" s="211"/>
      <c r="S30" s="219">
        <f>R30-Q30</f>
        <v>0</v>
      </c>
      <c r="T30" s="125"/>
      <c r="U30" s="252">
        <v>208</v>
      </c>
      <c r="V30" s="211">
        <v>0</v>
      </c>
      <c r="W30" s="227">
        <f>V30-U30</f>
        <v>-208</v>
      </c>
      <c r="X30" s="125">
        <f t="shared" ref="X30:X37" si="0">V30/U30*100</f>
        <v>0</v>
      </c>
      <c r="Y30" s="219">
        <v>0</v>
      </c>
      <c r="Z30" s="219">
        <v>0</v>
      </c>
      <c r="AA30" s="219">
        <f>Z30-Y30</f>
        <v>0</v>
      </c>
      <c r="AB30" s="125"/>
      <c r="AC30" s="211">
        <f t="shared" ref="AC30:AD39" si="1">SUM(M30,Q30,U30,Y30)</f>
        <v>208</v>
      </c>
      <c r="AD30" s="227">
        <f t="shared" si="1"/>
        <v>0</v>
      </c>
      <c r="AE30" s="227">
        <f>AD30-AC30</f>
        <v>-208</v>
      </c>
      <c r="AF30" s="125"/>
      <c r="AH30" s="260">
        <v>0</v>
      </c>
    </row>
    <row r="31" spans="1:34" ht="20.100000000000001" customHeight="1">
      <c r="A31" s="144" t="s">
        <v>488</v>
      </c>
      <c r="B31" s="472" t="s">
        <v>491</v>
      </c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219">
        <v>0</v>
      </c>
      <c r="N31" s="219">
        <v>0</v>
      </c>
      <c r="O31" s="219">
        <f>N31-M31</f>
        <v>0</v>
      </c>
      <c r="P31" s="125"/>
      <c r="Q31" s="211"/>
      <c r="R31" s="211"/>
      <c r="S31" s="219">
        <f>R31-Q31</f>
        <v>0</v>
      </c>
      <c r="T31" s="125"/>
      <c r="U31" s="252">
        <v>30</v>
      </c>
      <c r="V31" s="211">
        <v>41.4</v>
      </c>
      <c r="W31" s="211">
        <f>V31-U31</f>
        <v>11.399999999999999</v>
      </c>
      <c r="X31" s="125">
        <f t="shared" si="0"/>
        <v>138</v>
      </c>
      <c r="Y31" s="219">
        <v>0</v>
      </c>
      <c r="Z31" s="219">
        <v>0</v>
      </c>
      <c r="AA31" s="219">
        <f>Z31-Y31</f>
        <v>0</v>
      </c>
      <c r="AB31" s="125"/>
      <c r="AC31" s="227">
        <f t="shared" ref="AC31:AC38" si="2">SUM(M31,Q31,U31,Y31)</f>
        <v>30</v>
      </c>
      <c r="AD31" s="252">
        <f t="shared" si="1"/>
        <v>41.4</v>
      </c>
      <c r="AE31" s="227">
        <f t="shared" ref="AE31:AE38" si="3">AD31-AC31</f>
        <v>11.399999999999999</v>
      </c>
      <c r="AF31" s="125">
        <f t="shared" ref="AF31:AF37" si="4">AD31/AC31*100</f>
        <v>138</v>
      </c>
      <c r="AH31" s="260">
        <v>195.8</v>
      </c>
    </row>
    <row r="32" spans="1:34" ht="20.100000000000001" customHeight="1">
      <c r="A32" s="144" t="s">
        <v>489</v>
      </c>
      <c r="B32" s="472" t="s">
        <v>559</v>
      </c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219">
        <v>0</v>
      </c>
      <c r="N32" s="219">
        <v>0</v>
      </c>
      <c r="O32" s="219">
        <f t="shared" ref="O32:O38" si="5">N32-M32</f>
        <v>0</v>
      </c>
      <c r="P32" s="125"/>
      <c r="Q32" s="211"/>
      <c r="R32" s="211"/>
      <c r="S32" s="219">
        <f t="shared" ref="S32:S38" si="6">R32-Q32</f>
        <v>0</v>
      </c>
      <c r="T32" s="125"/>
      <c r="U32" s="252"/>
      <c r="V32" s="211">
        <v>35.299999999999997</v>
      </c>
      <c r="W32" s="227">
        <f t="shared" ref="W32:W39" si="7">V32-U32</f>
        <v>35.299999999999997</v>
      </c>
      <c r="X32" s="125"/>
      <c r="Y32" s="219">
        <v>0</v>
      </c>
      <c r="Z32" s="219">
        <v>0</v>
      </c>
      <c r="AA32" s="219">
        <f t="shared" ref="AA32:AA38" si="8">Z32-Y32</f>
        <v>0</v>
      </c>
      <c r="AB32" s="125"/>
      <c r="AC32" s="227">
        <f t="shared" si="2"/>
        <v>0</v>
      </c>
      <c r="AD32" s="252">
        <f t="shared" si="1"/>
        <v>35.299999999999997</v>
      </c>
      <c r="AE32" s="227">
        <f t="shared" si="3"/>
        <v>35.299999999999997</v>
      </c>
      <c r="AF32" s="125"/>
      <c r="AH32" s="260">
        <v>40</v>
      </c>
    </row>
    <row r="33" spans="1:34" ht="20.100000000000001" customHeight="1">
      <c r="A33" s="144" t="s">
        <v>500</v>
      </c>
      <c r="B33" s="472" t="s">
        <v>506</v>
      </c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219">
        <v>0</v>
      </c>
      <c r="N33" s="219">
        <v>0</v>
      </c>
      <c r="O33" s="219">
        <f t="shared" si="5"/>
        <v>0</v>
      </c>
      <c r="P33" s="125"/>
      <c r="Q33" s="211"/>
      <c r="R33" s="211"/>
      <c r="S33" s="219">
        <f t="shared" si="6"/>
        <v>0</v>
      </c>
      <c r="T33" s="125"/>
      <c r="U33" s="252"/>
      <c r="V33" s="211"/>
      <c r="W33" s="227">
        <f t="shared" si="7"/>
        <v>0</v>
      </c>
      <c r="X33" s="125"/>
      <c r="Y33" s="219">
        <v>0</v>
      </c>
      <c r="Z33" s="219">
        <v>0</v>
      </c>
      <c r="AA33" s="219">
        <f t="shared" si="8"/>
        <v>0</v>
      </c>
      <c r="AB33" s="125"/>
      <c r="AC33" s="227">
        <f t="shared" si="2"/>
        <v>0</v>
      </c>
      <c r="AD33" s="252">
        <f t="shared" si="1"/>
        <v>0</v>
      </c>
      <c r="AE33" s="227">
        <f t="shared" si="3"/>
        <v>0</v>
      </c>
      <c r="AF33" s="125"/>
      <c r="AH33" s="260">
        <v>125</v>
      </c>
    </row>
    <row r="34" spans="1:34" ht="20.100000000000001" customHeight="1">
      <c r="A34" s="144" t="s">
        <v>501</v>
      </c>
      <c r="B34" s="472" t="s">
        <v>507</v>
      </c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228"/>
      <c r="N34" s="228"/>
      <c r="O34" s="228"/>
      <c r="P34" s="125"/>
      <c r="Q34" s="227"/>
      <c r="R34" s="227"/>
      <c r="S34" s="228"/>
      <c r="T34" s="125"/>
      <c r="U34" s="252"/>
      <c r="V34" s="227">
        <v>20</v>
      </c>
      <c r="W34" s="227">
        <f t="shared" si="7"/>
        <v>20</v>
      </c>
      <c r="X34" s="125"/>
      <c r="Y34" s="228"/>
      <c r="Z34" s="228"/>
      <c r="AA34" s="228"/>
      <c r="AB34" s="125"/>
      <c r="AC34" s="227">
        <f t="shared" si="2"/>
        <v>0</v>
      </c>
      <c r="AD34" s="252">
        <f t="shared" si="1"/>
        <v>20</v>
      </c>
      <c r="AE34" s="227">
        <f t="shared" si="3"/>
        <v>20</v>
      </c>
      <c r="AF34" s="125"/>
      <c r="AH34" s="260"/>
    </row>
    <row r="35" spans="1:34" ht="20.100000000000001" customHeight="1">
      <c r="A35" s="144" t="s">
        <v>502</v>
      </c>
      <c r="B35" s="472" t="s">
        <v>557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219">
        <v>0</v>
      </c>
      <c r="N35" s="219">
        <v>0</v>
      </c>
      <c r="O35" s="219">
        <f t="shared" si="5"/>
        <v>0</v>
      </c>
      <c r="P35" s="125"/>
      <c r="Q35" s="211"/>
      <c r="R35" s="211"/>
      <c r="S35" s="219">
        <f t="shared" si="6"/>
        <v>0</v>
      </c>
      <c r="T35" s="125"/>
      <c r="U35" s="252"/>
      <c r="V35" s="211"/>
      <c r="W35" s="227">
        <f t="shared" si="7"/>
        <v>0</v>
      </c>
      <c r="X35" s="125"/>
      <c r="Y35" s="219">
        <v>0</v>
      </c>
      <c r="Z35" s="219">
        <v>0</v>
      </c>
      <c r="AA35" s="219">
        <f t="shared" si="8"/>
        <v>0</v>
      </c>
      <c r="AB35" s="125"/>
      <c r="AC35" s="227">
        <f t="shared" si="2"/>
        <v>0</v>
      </c>
      <c r="AD35" s="252">
        <f t="shared" si="1"/>
        <v>0</v>
      </c>
      <c r="AE35" s="227">
        <f t="shared" si="3"/>
        <v>0</v>
      </c>
      <c r="AF35" s="125"/>
      <c r="AH35" s="260">
        <v>0</v>
      </c>
    </row>
    <row r="36" spans="1:34" ht="20.100000000000001" customHeight="1">
      <c r="A36" s="144" t="s">
        <v>503</v>
      </c>
      <c r="B36" s="472" t="s">
        <v>504</v>
      </c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228"/>
      <c r="N36" s="228"/>
      <c r="O36" s="228"/>
      <c r="P36" s="125"/>
      <c r="Q36" s="227"/>
      <c r="R36" s="227"/>
      <c r="S36" s="228"/>
      <c r="T36" s="125"/>
      <c r="U36" s="252">
        <v>10</v>
      </c>
      <c r="V36" s="227">
        <v>7.2</v>
      </c>
      <c r="W36" s="227">
        <f t="shared" si="7"/>
        <v>-2.8</v>
      </c>
      <c r="X36" s="125">
        <f t="shared" si="0"/>
        <v>72</v>
      </c>
      <c r="Y36" s="228"/>
      <c r="Z36" s="228"/>
      <c r="AA36" s="228"/>
      <c r="AB36" s="125"/>
      <c r="AC36" s="227">
        <f t="shared" si="2"/>
        <v>10</v>
      </c>
      <c r="AD36" s="252">
        <f t="shared" si="1"/>
        <v>7.2</v>
      </c>
      <c r="AE36" s="227">
        <f t="shared" si="3"/>
        <v>-2.8</v>
      </c>
      <c r="AF36" s="125">
        <f t="shared" si="4"/>
        <v>72</v>
      </c>
      <c r="AH36" s="260">
        <v>41.7</v>
      </c>
    </row>
    <row r="37" spans="1:34" ht="19.95" customHeight="1">
      <c r="A37" s="144" t="s">
        <v>505</v>
      </c>
      <c r="B37" s="472" t="s">
        <v>519</v>
      </c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219">
        <v>0</v>
      </c>
      <c r="N37" s="219">
        <v>0</v>
      </c>
      <c r="O37" s="219">
        <f t="shared" si="5"/>
        <v>0</v>
      </c>
      <c r="P37" s="125"/>
      <c r="Q37" s="211"/>
      <c r="R37" s="211"/>
      <c r="S37" s="219">
        <f t="shared" si="6"/>
        <v>0</v>
      </c>
      <c r="T37" s="125"/>
      <c r="U37" s="252">
        <v>120</v>
      </c>
      <c r="V37" s="211">
        <v>120.8</v>
      </c>
      <c r="W37" s="227">
        <f t="shared" si="7"/>
        <v>0.79999999999999716</v>
      </c>
      <c r="X37" s="125">
        <f t="shared" si="0"/>
        <v>100.66666666666666</v>
      </c>
      <c r="Y37" s="219">
        <v>0</v>
      </c>
      <c r="Z37" s="219">
        <v>0</v>
      </c>
      <c r="AA37" s="219">
        <f t="shared" si="8"/>
        <v>0</v>
      </c>
      <c r="AB37" s="125"/>
      <c r="AC37" s="227">
        <f t="shared" si="2"/>
        <v>120</v>
      </c>
      <c r="AD37" s="252">
        <f t="shared" si="1"/>
        <v>120.8</v>
      </c>
      <c r="AE37" s="227">
        <f t="shared" si="3"/>
        <v>0.79999999999999716</v>
      </c>
      <c r="AF37" s="125">
        <f t="shared" si="4"/>
        <v>100.66666666666666</v>
      </c>
      <c r="AH37" s="260">
        <v>182.5</v>
      </c>
    </row>
    <row r="38" spans="1:34" ht="20.100000000000001" customHeight="1">
      <c r="A38" s="144" t="s">
        <v>552</v>
      </c>
      <c r="B38" s="472" t="s">
        <v>558</v>
      </c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219">
        <v>0</v>
      </c>
      <c r="N38" s="219">
        <v>0</v>
      </c>
      <c r="O38" s="219">
        <f t="shared" si="5"/>
        <v>0</v>
      </c>
      <c r="P38" s="125"/>
      <c r="Q38" s="211"/>
      <c r="R38" s="211"/>
      <c r="S38" s="219">
        <f t="shared" si="6"/>
        <v>0</v>
      </c>
      <c r="T38" s="125"/>
      <c r="U38" s="252"/>
      <c r="V38" s="211"/>
      <c r="W38" s="227">
        <f t="shared" si="7"/>
        <v>0</v>
      </c>
      <c r="X38" s="125"/>
      <c r="Y38" s="219">
        <v>0</v>
      </c>
      <c r="Z38" s="219">
        <v>0</v>
      </c>
      <c r="AA38" s="219">
        <f t="shared" si="8"/>
        <v>0</v>
      </c>
      <c r="AB38" s="125"/>
      <c r="AC38" s="227">
        <f t="shared" si="2"/>
        <v>0</v>
      </c>
      <c r="AD38" s="252">
        <f t="shared" si="1"/>
        <v>0</v>
      </c>
      <c r="AE38" s="227">
        <f t="shared" si="3"/>
        <v>0</v>
      </c>
      <c r="AF38" s="125"/>
      <c r="AH38" s="260">
        <v>40.799999999999997</v>
      </c>
    </row>
    <row r="39" spans="1:34" ht="20.100000000000001" customHeight="1">
      <c r="A39" s="270" t="s">
        <v>553</v>
      </c>
      <c r="B39" s="472" t="s">
        <v>440</v>
      </c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254"/>
      <c r="N39" s="254"/>
      <c r="O39" s="254"/>
      <c r="P39" s="125"/>
      <c r="Q39" s="252"/>
      <c r="R39" s="252"/>
      <c r="S39" s="254"/>
      <c r="T39" s="125"/>
      <c r="U39" s="252">
        <v>0</v>
      </c>
      <c r="V39" s="252">
        <f>0.2+3.4+0.4+5.3</f>
        <v>9.3000000000000007</v>
      </c>
      <c r="W39" s="252">
        <f t="shared" si="7"/>
        <v>9.3000000000000007</v>
      </c>
      <c r="X39" s="125"/>
      <c r="Y39" s="254"/>
      <c r="Z39" s="254"/>
      <c r="AA39" s="254"/>
      <c r="AB39" s="125"/>
      <c r="AC39" s="252"/>
      <c r="AD39" s="252">
        <f t="shared" si="1"/>
        <v>9.3000000000000007</v>
      </c>
      <c r="AE39" s="252"/>
      <c r="AF39" s="125"/>
      <c r="AH39" s="260"/>
    </row>
    <row r="40" spans="1:34" ht="24.9" customHeight="1">
      <c r="A40" s="526" t="s">
        <v>50</v>
      </c>
      <c r="B40" s="527"/>
      <c r="C40" s="527"/>
      <c r="D40" s="527"/>
      <c r="E40" s="527"/>
      <c r="F40" s="527"/>
      <c r="G40" s="527"/>
      <c r="H40" s="527"/>
      <c r="I40" s="527"/>
      <c r="J40" s="527"/>
      <c r="K40" s="527"/>
      <c r="L40" s="528"/>
      <c r="M40" s="135">
        <f>SUM(M30:M38)</f>
        <v>0</v>
      </c>
      <c r="N40" s="135">
        <f>SUM(N30:N38)</f>
        <v>0</v>
      </c>
      <c r="O40" s="135">
        <f>SUM(O30:O38)</f>
        <v>0</v>
      </c>
      <c r="P40" s="126"/>
      <c r="Q40" s="217">
        <f>SUM(Q30:Q38)</f>
        <v>0</v>
      </c>
      <c r="R40" s="217">
        <f>SUM(R30:R38)</f>
        <v>0</v>
      </c>
      <c r="S40" s="135">
        <f>SUM(S30:S38)</f>
        <v>0</v>
      </c>
      <c r="T40" s="126"/>
      <c r="U40" s="253">
        <f>SUM(U30:U38)</f>
        <v>368</v>
      </c>
      <c r="V40" s="217">
        <f>SUM(V30:V39)</f>
        <v>234</v>
      </c>
      <c r="W40" s="217">
        <f>SUM(W30:W39)</f>
        <v>-134</v>
      </c>
      <c r="X40" s="126">
        <f>V40/U40*100</f>
        <v>63.586956521739133</v>
      </c>
      <c r="Y40" s="135">
        <f>SUM(Y30:Y38)</f>
        <v>0</v>
      </c>
      <c r="Z40" s="135">
        <f>SUM(Z30:Z38)</f>
        <v>0</v>
      </c>
      <c r="AA40" s="135">
        <f>SUM(AA30:AA38)</f>
        <v>0</v>
      </c>
      <c r="AB40" s="126"/>
      <c r="AC40" s="217">
        <f>SUM(AC30:AC38)</f>
        <v>368</v>
      </c>
      <c r="AD40" s="217">
        <f>SUM(AD30:AD39)</f>
        <v>234</v>
      </c>
      <c r="AE40" s="217">
        <f>SUM(AE30:AE38)</f>
        <v>-143.30000000000001</v>
      </c>
      <c r="AF40" s="126">
        <f>AD40/AC40*100</f>
        <v>63.586956521739133</v>
      </c>
      <c r="AH40" s="262">
        <f>SUM(AH30:AH38)</f>
        <v>625.79999999999995</v>
      </c>
    </row>
    <row r="41" spans="1:34" ht="24.9" customHeight="1">
      <c r="A41" s="529" t="s">
        <v>51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1"/>
      <c r="M41" s="205">
        <f>M40/AC40*100</f>
        <v>0</v>
      </c>
      <c r="N41" s="205">
        <f>N40/AD40*100</f>
        <v>0</v>
      </c>
      <c r="O41" s="205"/>
      <c r="P41" s="205"/>
      <c r="Q41" s="205">
        <f>Q40/AC40*100</f>
        <v>0</v>
      </c>
      <c r="R41" s="205">
        <f>R40/AD40*100</f>
        <v>0</v>
      </c>
      <c r="S41" s="205"/>
      <c r="T41" s="205"/>
      <c r="U41" s="251">
        <f>U40/AC40*100</f>
        <v>100</v>
      </c>
      <c r="V41" s="205">
        <f>V40/AD40*100</f>
        <v>100</v>
      </c>
      <c r="W41" s="205"/>
      <c r="X41" s="205"/>
      <c r="Y41" s="205">
        <f>Y40/AC40*100</f>
        <v>0</v>
      </c>
      <c r="Z41" s="205">
        <f>Z40/AD40*100</f>
        <v>0</v>
      </c>
      <c r="AA41" s="205"/>
      <c r="AB41" s="205"/>
      <c r="AC41" s="205">
        <f>SUM(M41,Q41,U41,Y41)</f>
        <v>100</v>
      </c>
      <c r="AD41" s="205">
        <f>SUM(N41,R41,V41,Z41)</f>
        <v>100</v>
      </c>
      <c r="AE41" s="205"/>
      <c r="AF41" s="205"/>
      <c r="AH41" s="257"/>
    </row>
    <row r="42" spans="1:34" ht="15" customHeight="1">
      <c r="A42" s="16"/>
      <c r="B42" s="16"/>
      <c r="C42" s="16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34" ht="15" customHeight="1">
      <c r="A43" s="16"/>
      <c r="B43" s="16"/>
      <c r="C43" s="16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34" s="140" customFormat="1" ht="31.65" customHeight="1">
      <c r="C44" s="140" t="s">
        <v>172</v>
      </c>
    </row>
    <row r="45" spans="1:34" s="70" customFormat="1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L45" s="138"/>
      <c r="AD45" s="539" t="s">
        <v>409</v>
      </c>
      <c r="AE45" s="539"/>
      <c r="AF45" s="539"/>
    </row>
    <row r="46" spans="1:34" s="71" customFormat="1" ht="34.5" customHeight="1">
      <c r="A46" s="384" t="s">
        <v>48</v>
      </c>
      <c r="B46" s="461" t="s">
        <v>215</v>
      </c>
      <c r="C46" s="463"/>
      <c r="D46" s="382" t="s">
        <v>217</v>
      </c>
      <c r="E46" s="382"/>
      <c r="F46" s="382" t="s">
        <v>144</v>
      </c>
      <c r="G46" s="382"/>
      <c r="H46" s="382" t="s">
        <v>336</v>
      </c>
      <c r="I46" s="382"/>
      <c r="J46" s="382" t="s">
        <v>337</v>
      </c>
      <c r="K46" s="382"/>
      <c r="L46" s="382" t="s">
        <v>371</v>
      </c>
      <c r="M46" s="382"/>
      <c r="N46" s="382"/>
      <c r="O46" s="382"/>
      <c r="P46" s="382"/>
      <c r="Q46" s="382"/>
      <c r="R46" s="382"/>
      <c r="S46" s="382"/>
      <c r="T46" s="382"/>
      <c r="U46" s="382"/>
      <c r="V46" s="382" t="s">
        <v>216</v>
      </c>
      <c r="W46" s="382"/>
      <c r="X46" s="382"/>
      <c r="Y46" s="382"/>
      <c r="Z46" s="382"/>
      <c r="AA46" s="382" t="s">
        <v>347</v>
      </c>
      <c r="AB46" s="382"/>
      <c r="AC46" s="382"/>
      <c r="AD46" s="382"/>
      <c r="AE46" s="382"/>
      <c r="AF46" s="382"/>
    </row>
    <row r="47" spans="1:34" s="71" customFormat="1" ht="52.5" customHeight="1">
      <c r="A47" s="384"/>
      <c r="B47" s="475"/>
      <c r="C47" s="477"/>
      <c r="D47" s="382"/>
      <c r="E47" s="382"/>
      <c r="F47" s="382"/>
      <c r="G47" s="382"/>
      <c r="H47" s="382"/>
      <c r="I47" s="382"/>
      <c r="J47" s="382"/>
      <c r="K47" s="382"/>
      <c r="L47" s="382" t="s">
        <v>199</v>
      </c>
      <c r="M47" s="382"/>
      <c r="N47" s="382" t="s">
        <v>203</v>
      </c>
      <c r="O47" s="382"/>
      <c r="P47" s="382" t="s">
        <v>204</v>
      </c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</row>
    <row r="48" spans="1:34" s="72" customFormat="1" ht="82.5" customHeight="1">
      <c r="A48" s="384"/>
      <c r="B48" s="464"/>
      <c r="C48" s="466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 t="s">
        <v>200</v>
      </c>
      <c r="Q48" s="382"/>
      <c r="R48" s="382" t="s">
        <v>201</v>
      </c>
      <c r="S48" s="382"/>
      <c r="T48" s="382" t="s">
        <v>202</v>
      </c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</row>
    <row r="49" spans="1:32" s="71" customFormat="1" ht="18.75" customHeight="1">
      <c r="A49" s="57">
        <v>1</v>
      </c>
      <c r="B49" s="426">
        <v>2</v>
      </c>
      <c r="C49" s="427"/>
      <c r="D49" s="382">
        <v>3</v>
      </c>
      <c r="E49" s="382"/>
      <c r="F49" s="382">
        <v>4</v>
      </c>
      <c r="G49" s="382"/>
      <c r="H49" s="382">
        <v>5</v>
      </c>
      <c r="I49" s="382"/>
      <c r="J49" s="382">
        <v>6</v>
      </c>
      <c r="K49" s="382"/>
      <c r="L49" s="426">
        <v>7</v>
      </c>
      <c r="M49" s="427"/>
      <c r="N49" s="426">
        <v>8</v>
      </c>
      <c r="O49" s="427"/>
      <c r="P49" s="382">
        <v>9</v>
      </c>
      <c r="Q49" s="382"/>
      <c r="R49" s="384">
        <v>10</v>
      </c>
      <c r="S49" s="384"/>
      <c r="T49" s="382">
        <v>11</v>
      </c>
      <c r="U49" s="382"/>
      <c r="V49" s="382">
        <v>12</v>
      </c>
      <c r="W49" s="382"/>
      <c r="X49" s="382"/>
      <c r="Y49" s="382"/>
      <c r="Z49" s="382"/>
      <c r="AA49" s="382">
        <v>13</v>
      </c>
      <c r="AB49" s="382"/>
      <c r="AC49" s="382"/>
      <c r="AD49" s="382"/>
      <c r="AE49" s="382"/>
      <c r="AF49" s="382"/>
    </row>
    <row r="50" spans="1:32" s="71" customFormat="1" ht="20.100000000000001" customHeight="1">
      <c r="A50" s="83"/>
      <c r="B50" s="535"/>
      <c r="C50" s="536"/>
      <c r="D50" s="449"/>
      <c r="E50" s="449"/>
      <c r="F50" s="501"/>
      <c r="G50" s="501"/>
      <c r="H50" s="501"/>
      <c r="I50" s="501"/>
      <c r="J50" s="501"/>
      <c r="K50" s="501"/>
      <c r="L50" s="418"/>
      <c r="M50" s="420"/>
      <c r="N50" s="418">
        <f t="shared" ref="N50:N56" si="9">SUM(P50,R50,T50)</f>
        <v>0</v>
      </c>
      <c r="O50" s="420"/>
      <c r="P50" s="501"/>
      <c r="Q50" s="501"/>
      <c r="R50" s="501"/>
      <c r="S50" s="501"/>
      <c r="T50" s="501"/>
      <c r="U50" s="501"/>
      <c r="V50" s="502"/>
      <c r="W50" s="502"/>
      <c r="X50" s="502"/>
      <c r="Y50" s="502"/>
      <c r="Z50" s="502"/>
      <c r="AA50" s="440"/>
      <c r="AB50" s="440"/>
      <c r="AC50" s="440"/>
      <c r="AD50" s="440"/>
      <c r="AE50" s="440"/>
      <c r="AF50" s="440"/>
    </row>
    <row r="51" spans="1:32" s="71" customFormat="1" ht="20.100000000000001" customHeight="1">
      <c r="A51" s="83"/>
      <c r="B51" s="535"/>
      <c r="C51" s="536"/>
      <c r="D51" s="449"/>
      <c r="E51" s="449"/>
      <c r="F51" s="501"/>
      <c r="G51" s="501"/>
      <c r="H51" s="501"/>
      <c r="I51" s="501"/>
      <c r="J51" s="501"/>
      <c r="K51" s="501"/>
      <c r="L51" s="418"/>
      <c r="M51" s="420"/>
      <c r="N51" s="418">
        <f t="shared" si="9"/>
        <v>0</v>
      </c>
      <c r="O51" s="420"/>
      <c r="P51" s="501"/>
      <c r="Q51" s="501"/>
      <c r="R51" s="501"/>
      <c r="S51" s="501"/>
      <c r="T51" s="501"/>
      <c r="U51" s="501"/>
      <c r="V51" s="502"/>
      <c r="W51" s="502"/>
      <c r="X51" s="502"/>
      <c r="Y51" s="502"/>
      <c r="Z51" s="502"/>
      <c r="AA51" s="440"/>
      <c r="AB51" s="440"/>
      <c r="AC51" s="440"/>
      <c r="AD51" s="440"/>
      <c r="AE51" s="440"/>
      <c r="AF51" s="440"/>
    </row>
    <row r="52" spans="1:32" s="71" customFormat="1" ht="20.100000000000001" customHeight="1">
      <c r="A52" s="83"/>
      <c r="B52" s="535"/>
      <c r="C52" s="536"/>
      <c r="D52" s="449"/>
      <c r="E52" s="449"/>
      <c r="F52" s="501"/>
      <c r="G52" s="501"/>
      <c r="H52" s="501"/>
      <c r="I52" s="501"/>
      <c r="J52" s="501"/>
      <c r="K52" s="501"/>
      <c r="L52" s="418"/>
      <c r="M52" s="420"/>
      <c r="N52" s="418">
        <f t="shared" si="9"/>
        <v>0</v>
      </c>
      <c r="O52" s="420"/>
      <c r="P52" s="501"/>
      <c r="Q52" s="501"/>
      <c r="R52" s="501"/>
      <c r="S52" s="501"/>
      <c r="T52" s="501"/>
      <c r="U52" s="501"/>
      <c r="V52" s="502"/>
      <c r="W52" s="502"/>
      <c r="X52" s="502"/>
      <c r="Y52" s="502"/>
      <c r="Z52" s="502"/>
      <c r="AA52" s="440"/>
      <c r="AB52" s="440"/>
      <c r="AC52" s="440"/>
      <c r="AD52" s="440"/>
      <c r="AE52" s="440"/>
      <c r="AF52" s="440"/>
    </row>
    <row r="53" spans="1:32" s="71" customFormat="1" ht="20.100000000000001" customHeight="1">
      <c r="A53" s="83"/>
      <c r="B53" s="535"/>
      <c r="C53" s="536"/>
      <c r="D53" s="449"/>
      <c r="E53" s="449"/>
      <c r="F53" s="501"/>
      <c r="G53" s="501"/>
      <c r="H53" s="501"/>
      <c r="I53" s="501"/>
      <c r="J53" s="501"/>
      <c r="K53" s="501"/>
      <c r="L53" s="418"/>
      <c r="M53" s="420"/>
      <c r="N53" s="418">
        <f t="shared" si="9"/>
        <v>0</v>
      </c>
      <c r="O53" s="420"/>
      <c r="P53" s="501"/>
      <c r="Q53" s="501"/>
      <c r="R53" s="501"/>
      <c r="S53" s="501"/>
      <c r="T53" s="501"/>
      <c r="U53" s="501"/>
      <c r="V53" s="502"/>
      <c r="W53" s="502"/>
      <c r="X53" s="502"/>
      <c r="Y53" s="502"/>
      <c r="Z53" s="502"/>
      <c r="AA53" s="440"/>
      <c r="AB53" s="440"/>
      <c r="AC53" s="440"/>
      <c r="AD53" s="440"/>
      <c r="AE53" s="440"/>
      <c r="AF53" s="440"/>
    </row>
    <row r="54" spans="1:32" s="71" customFormat="1" ht="20.100000000000001" customHeight="1">
      <c r="A54" s="83"/>
      <c r="B54" s="535"/>
      <c r="C54" s="536"/>
      <c r="D54" s="449"/>
      <c r="E54" s="449"/>
      <c r="F54" s="501"/>
      <c r="G54" s="501"/>
      <c r="H54" s="501"/>
      <c r="I54" s="501"/>
      <c r="J54" s="501"/>
      <c r="K54" s="501"/>
      <c r="L54" s="418"/>
      <c r="M54" s="420"/>
      <c r="N54" s="418">
        <f t="shared" si="9"/>
        <v>0</v>
      </c>
      <c r="O54" s="420"/>
      <c r="P54" s="501"/>
      <c r="Q54" s="501"/>
      <c r="R54" s="501"/>
      <c r="S54" s="501"/>
      <c r="T54" s="501"/>
      <c r="U54" s="501"/>
      <c r="V54" s="502"/>
      <c r="W54" s="502"/>
      <c r="X54" s="502"/>
      <c r="Y54" s="502"/>
      <c r="Z54" s="502"/>
      <c r="AA54" s="440"/>
      <c r="AB54" s="440"/>
      <c r="AC54" s="440"/>
      <c r="AD54" s="440"/>
      <c r="AE54" s="440"/>
      <c r="AF54" s="440"/>
    </row>
    <row r="55" spans="1:32" s="71" customFormat="1" ht="20.100000000000001" customHeight="1">
      <c r="A55" s="83"/>
      <c r="B55" s="535"/>
      <c r="C55" s="536"/>
      <c r="D55" s="449"/>
      <c r="E55" s="449"/>
      <c r="F55" s="501"/>
      <c r="G55" s="501"/>
      <c r="H55" s="501"/>
      <c r="I55" s="501"/>
      <c r="J55" s="501"/>
      <c r="K55" s="501"/>
      <c r="L55" s="418"/>
      <c r="M55" s="420"/>
      <c r="N55" s="418">
        <f t="shared" si="9"/>
        <v>0</v>
      </c>
      <c r="O55" s="420"/>
      <c r="P55" s="501"/>
      <c r="Q55" s="501"/>
      <c r="R55" s="501"/>
      <c r="S55" s="501"/>
      <c r="T55" s="501"/>
      <c r="U55" s="501"/>
      <c r="V55" s="502"/>
      <c r="W55" s="502"/>
      <c r="X55" s="502"/>
      <c r="Y55" s="502"/>
      <c r="Z55" s="502"/>
      <c r="AA55" s="440"/>
      <c r="AB55" s="440"/>
      <c r="AC55" s="440"/>
      <c r="AD55" s="440"/>
      <c r="AE55" s="440"/>
      <c r="AF55" s="440"/>
    </row>
    <row r="56" spans="1:32" s="71" customFormat="1" ht="20.100000000000001" customHeight="1">
      <c r="A56" s="83"/>
      <c r="B56" s="535"/>
      <c r="C56" s="536"/>
      <c r="D56" s="449"/>
      <c r="E56" s="449"/>
      <c r="F56" s="501"/>
      <c r="G56" s="501"/>
      <c r="H56" s="501"/>
      <c r="I56" s="501"/>
      <c r="J56" s="501"/>
      <c r="K56" s="501"/>
      <c r="L56" s="418"/>
      <c r="M56" s="420"/>
      <c r="N56" s="418">
        <f t="shared" si="9"/>
        <v>0</v>
      </c>
      <c r="O56" s="420"/>
      <c r="P56" s="501"/>
      <c r="Q56" s="501"/>
      <c r="R56" s="501"/>
      <c r="S56" s="501"/>
      <c r="T56" s="501"/>
      <c r="U56" s="501"/>
      <c r="V56" s="502"/>
      <c r="W56" s="502"/>
      <c r="X56" s="502"/>
      <c r="Y56" s="502"/>
      <c r="Z56" s="502"/>
      <c r="AA56" s="440"/>
      <c r="AB56" s="440"/>
      <c r="AC56" s="440"/>
      <c r="AD56" s="440"/>
      <c r="AE56" s="440"/>
      <c r="AF56" s="440"/>
    </row>
    <row r="57" spans="1:32" s="71" customFormat="1" ht="24.9" customHeight="1">
      <c r="A57" s="498" t="s">
        <v>50</v>
      </c>
      <c r="B57" s="499"/>
      <c r="C57" s="499"/>
      <c r="D57" s="499"/>
      <c r="E57" s="500"/>
      <c r="F57" s="509">
        <f>SUM(F50:F56)</f>
        <v>0</v>
      </c>
      <c r="G57" s="509"/>
      <c r="H57" s="509">
        <f>SUM(H50:H56)</f>
        <v>0</v>
      </c>
      <c r="I57" s="509"/>
      <c r="J57" s="509">
        <f>SUM(J50:J56)</f>
        <v>0</v>
      </c>
      <c r="K57" s="509"/>
      <c r="L57" s="509">
        <f>SUM(L50:L56)</f>
        <v>0</v>
      </c>
      <c r="M57" s="509"/>
      <c r="N57" s="509">
        <f>SUM(N50:N56)</f>
        <v>0</v>
      </c>
      <c r="O57" s="509"/>
      <c r="P57" s="509">
        <f>SUM(P50:P56)</f>
        <v>0</v>
      </c>
      <c r="Q57" s="509"/>
      <c r="R57" s="509">
        <f>SUM(R50:R56)</f>
        <v>0</v>
      </c>
      <c r="S57" s="509"/>
      <c r="T57" s="509">
        <f>SUM(T50:T56)</f>
        <v>0</v>
      </c>
      <c r="U57" s="509"/>
      <c r="V57" s="510"/>
      <c r="W57" s="510"/>
      <c r="X57" s="510"/>
      <c r="Y57" s="510"/>
      <c r="Z57" s="510"/>
      <c r="AA57" s="452"/>
      <c r="AB57" s="452"/>
      <c r="AC57" s="452"/>
      <c r="AD57" s="452"/>
      <c r="AE57" s="452"/>
      <c r="AF57" s="452"/>
    </row>
    <row r="58" spans="1:32" ht="15" customHeight="1">
      <c r="A58" s="16"/>
      <c r="B58" s="16"/>
      <c r="C58" s="16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32" ht="15" customHeight="1">
      <c r="A59" s="16"/>
      <c r="B59" s="16"/>
      <c r="C59" s="16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32" ht="15" customHeight="1">
      <c r="A60" s="16"/>
      <c r="B60" s="16"/>
      <c r="C60" s="16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32" ht="15" customHeight="1">
      <c r="A61" s="16"/>
      <c r="B61" s="16"/>
      <c r="C61" s="16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32" s="210" customFormat="1" ht="27.75" customHeight="1">
      <c r="A62" s="140" t="s">
        <v>492</v>
      </c>
      <c r="B62" s="192"/>
      <c r="C62" s="193"/>
      <c r="D62" s="193"/>
      <c r="E62" s="193"/>
      <c r="F62" s="193"/>
      <c r="G62" s="193"/>
      <c r="H62" s="193"/>
      <c r="I62" s="541" t="s">
        <v>198</v>
      </c>
      <c r="J62" s="541"/>
      <c r="K62" s="193"/>
      <c r="N62" s="194"/>
      <c r="O62" s="542" t="s">
        <v>493</v>
      </c>
      <c r="P62" s="542"/>
      <c r="Q62" s="542"/>
      <c r="R62" s="193"/>
      <c r="S62" s="193"/>
    </row>
    <row r="63" spans="1:32" ht="21">
      <c r="A63" s="202" t="s">
        <v>212</v>
      </c>
      <c r="B63" s="193"/>
      <c r="C63" s="195"/>
      <c r="D63" s="195"/>
      <c r="E63" s="195"/>
      <c r="F63" s="195"/>
      <c r="G63" s="195"/>
      <c r="H63" s="195"/>
      <c r="I63" s="543" t="s">
        <v>494</v>
      </c>
      <c r="J63" s="543"/>
      <c r="K63" s="195"/>
      <c r="N63" s="196"/>
      <c r="O63" s="544" t="s">
        <v>85</v>
      </c>
      <c r="P63" s="544"/>
      <c r="Q63" s="544"/>
      <c r="R63" s="195"/>
      <c r="S63" s="195"/>
    </row>
    <row r="64" spans="1:32" s="208" customFormat="1">
      <c r="F64" s="203"/>
      <c r="G64" s="203"/>
      <c r="H64" s="203"/>
      <c r="I64" s="203"/>
      <c r="J64" s="203"/>
      <c r="K64" s="203"/>
      <c r="L64" s="203"/>
      <c r="Q64" s="203"/>
      <c r="R64" s="203"/>
      <c r="S64" s="203"/>
      <c r="T64" s="203"/>
      <c r="X64" s="203"/>
      <c r="Y64" s="203"/>
      <c r="Z64" s="203"/>
      <c r="AA64" s="203"/>
    </row>
    <row r="65" spans="1:22">
      <c r="C65" s="34"/>
      <c r="D65" s="34"/>
      <c r="E65" s="34"/>
      <c r="F65" s="34"/>
      <c r="G65" s="34"/>
      <c r="H65" s="34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34"/>
      <c r="V65" s="34"/>
    </row>
    <row r="66" spans="1:22" s="538" customFormat="1" ht="38.549999999999997" customHeight="1">
      <c r="A66" s="537" t="s">
        <v>417</v>
      </c>
    </row>
    <row r="67" spans="1:22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>
      <c r="C68" s="35"/>
    </row>
    <row r="71" spans="1:22">
      <c r="C71" s="36"/>
    </row>
    <row r="72" spans="1:22">
      <c r="C72" s="36"/>
    </row>
    <row r="73" spans="1:22">
      <c r="C73" s="36"/>
    </row>
    <row r="74" spans="1:22">
      <c r="C74" s="36"/>
    </row>
    <row r="75" spans="1:22">
      <c r="C75" s="36"/>
    </row>
    <row r="76" spans="1:22">
      <c r="C76" s="36"/>
    </row>
    <row r="77" spans="1:22">
      <c r="C77" s="36"/>
    </row>
  </sheetData>
  <mergeCells count="272">
    <mergeCell ref="B39:L39"/>
    <mergeCell ref="B36:L36"/>
    <mergeCell ref="B34:L34"/>
    <mergeCell ref="A66:XFD66"/>
    <mergeCell ref="AA46:AF48"/>
    <mergeCell ref="AD45:AF45"/>
    <mergeCell ref="W27:W28"/>
    <mergeCell ref="X27:X28"/>
    <mergeCell ref="AC27:AC28"/>
    <mergeCell ref="V46:Z48"/>
    <mergeCell ref="A26:A28"/>
    <mergeCell ref="AA56:AF56"/>
    <mergeCell ref="AA57:AF57"/>
    <mergeCell ref="I62:J62"/>
    <mergeCell ref="O62:Q62"/>
    <mergeCell ref="I63:J63"/>
    <mergeCell ref="O63:Q63"/>
    <mergeCell ref="AA52:AF52"/>
    <mergeCell ref="AA53:AF53"/>
    <mergeCell ref="AA54:AF54"/>
    <mergeCell ref="AA55:AF55"/>
    <mergeCell ref="AA49:AF49"/>
    <mergeCell ref="AA50:AF50"/>
    <mergeCell ref="AA51:AF51"/>
    <mergeCell ref="H52:I52"/>
    <mergeCell ref="J52:K52"/>
    <mergeCell ref="H51:I51"/>
    <mergeCell ref="F55:G55"/>
    <mergeCell ref="D53:E53"/>
    <mergeCell ref="D56:E56"/>
    <mergeCell ref="B54:C54"/>
    <mergeCell ref="B50:C50"/>
    <mergeCell ref="B51:C51"/>
    <mergeCell ref="D55:E55"/>
    <mergeCell ref="B55:C55"/>
    <mergeCell ref="B56:C56"/>
    <mergeCell ref="B53:C53"/>
    <mergeCell ref="B52:C52"/>
    <mergeCell ref="F53:G53"/>
    <mergeCell ref="F54:G54"/>
    <mergeCell ref="D52:E52"/>
    <mergeCell ref="F52:G52"/>
    <mergeCell ref="D51:E51"/>
    <mergeCell ref="D50:E50"/>
    <mergeCell ref="F50:G50"/>
    <mergeCell ref="D54:E54"/>
    <mergeCell ref="F51:G51"/>
    <mergeCell ref="R55:S55"/>
    <mergeCell ref="L55:M55"/>
    <mergeCell ref="N55:O55"/>
    <mergeCell ref="R54:S54"/>
    <mergeCell ref="J53:K53"/>
    <mergeCell ref="L53:M53"/>
    <mergeCell ref="P55:Q55"/>
    <mergeCell ref="H55:I55"/>
    <mergeCell ref="N53:O53"/>
    <mergeCell ref="P53:Q53"/>
    <mergeCell ref="J54:K54"/>
    <mergeCell ref="L54:M54"/>
    <mergeCell ref="N54:O54"/>
    <mergeCell ref="P54:Q54"/>
    <mergeCell ref="R53:S53"/>
    <mergeCell ref="H53:I53"/>
    <mergeCell ref="H54:I54"/>
    <mergeCell ref="J55:K55"/>
    <mergeCell ref="J46:K48"/>
    <mergeCell ref="L52:M52"/>
    <mergeCell ref="L51:M51"/>
    <mergeCell ref="L46:U46"/>
    <mergeCell ref="N52:O52"/>
    <mergeCell ref="P52:Q52"/>
    <mergeCell ref="R50:S50"/>
    <mergeCell ref="R52:S52"/>
    <mergeCell ref="T51:U51"/>
    <mergeCell ref="J49:K49"/>
    <mergeCell ref="N51:O51"/>
    <mergeCell ref="P50:Q50"/>
    <mergeCell ref="P51:Q51"/>
    <mergeCell ref="P47:U47"/>
    <mergeCell ref="N49:O49"/>
    <mergeCell ref="R51:S51"/>
    <mergeCell ref="P49:Q49"/>
    <mergeCell ref="T50:U50"/>
    <mergeCell ref="N50:O50"/>
    <mergeCell ref="R49:S49"/>
    <mergeCell ref="T49:U49"/>
    <mergeCell ref="J50:K50"/>
    <mergeCell ref="J51:K51"/>
    <mergeCell ref="F49:G49"/>
    <mergeCell ref="D46:E48"/>
    <mergeCell ref="B49:C49"/>
    <mergeCell ref="R14:T15"/>
    <mergeCell ref="H16:O16"/>
    <mergeCell ref="R16:T16"/>
    <mergeCell ref="R17:T17"/>
    <mergeCell ref="R18:T18"/>
    <mergeCell ref="A40:L40"/>
    <mergeCell ref="L47:M48"/>
    <mergeCell ref="H46:I48"/>
    <mergeCell ref="B31:L31"/>
    <mergeCell ref="A41:L41"/>
    <mergeCell ref="D49:E49"/>
    <mergeCell ref="B46:C48"/>
    <mergeCell ref="B26:L28"/>
    <mergeCell ref="M26:P26"/>
    <mergeCell ref="H20:O20"/>
    <mergeCell ref="L49:M49"/>
    <mergeCell ref="H49:I49"/>
    <mergeCell ref="B17:C17"/>
    <mergeCell ref="B32:L32"/>
    <mergeCell ref="B33:L33"/>
    <mergeCell ref="N47:O48"/>
    <mergeCell ref="AA17:AC17"/>
    <mergeCell ref="AA18:AC18"/>
    <mergeCell ref="AA19:AC19"/>
    <mergeCell ref="AD13:AF15"/>
    <mergeCell ref="AA13:AC15"/>
    <mergeCell ref="AA20:AC20"/>
    <mergeCell ref="A46:A48"/>
    <mergeCell ref="A21:Q21"/>
    <mergeCell ref="B29:L29"/>
    <mergeCell ref="AC26:AF26"/>
    <mergeCell ref="AD27:AD28"/>
    <mergeCell ref="AE27:AE28"/>
    <mergeCell ref="AF27:AF28"/>
    <mergeCell ref="Y26:AB26"/>
    <mergeCell ref="V27:V28"/>
    <mergeCell ref="AD25:AF25"/>
    <mergeCell ref="AA27:AA28"/>
    <mergeCell ref="AB27:AB28"/>
    <mergeCell ref="B19:C19"/>
    <mergeCell ref="P27:P28"/>
    <mergeCell ref="M27:M28"/>
    <mergeCell ref="N27:N28"/>
    <mergeCell ref="F46:G48"/>
    <mergeCell ref="U27:U28"/>
    <mergeCell ref="AD5:AF5"/>
    <mergeCell ref="AA5:AC5"/>
    <mergeCell ref="D3:F4"/>
    <mergeCell ref="G6:Q6"/>
    <mergeCell ref="X5:Z5"/>
    <mergeCell ref="AD3:AF4"/>
    <mergeCell ref="AA3:AC4"/>
    <mergeCell ref="R3:Z3"/>
    <mergeCell ref="D5:F5"/>
    <mergeCell ref="D6:F6"/>
    <mergeCell ref="G5:Q5"/>
    <mergeCell ref="AD6:AF6"/>
    <mergeCell ref="AA6:AC6"/>
    <mergeCell ref="A3:A4"/>
    <mergeCell ref="U4:W4"/>
    <mergeCell ref="X4:Z4"/>
    <mergeCell ref="R5:T5"/>
    <mergeCell ref="U5:W5"/>
    <mergeCell ref="G3:Q4"/>
    <mergeCell ref="X8:Z8"/>
    <mergeCell ref="R4:T4"/>
    <mergeCell ref="R6:T6"/>
    <mergeCell ref="B3:C4"/>
    <mergeCell ref="B5:C5"/>
    <mergeCell ref="D7:F7"/>
    <mergeCell ref="U7:W7"/>
    <mergeCell ref="X7:Z7"/>
    <mergeCell ref="B6:C6"/>
    <mergeCell ref="B7:C7"/>
    <mergeCell ref="U8:W8"/>
    <mergeCell ref="X6:Z6"/>
    <mergeCell ref="U6:W6"/>
    <mergeCell ref="R7:T7"/>
    <mergeCell ref="AD7:AF7"/>
    <mergeCell ref="AA7:AC7"/>
    <mergeCell ref="AA8:AC8"/>
    <mergeCell ref="Z25:AB25"/>
    <mergeCell ref="X14:Z15"/>
    <mergeCell ref="Q26:T26"/>
    <mergeCell ref="Y27:Y28"/>
    <mergeCell ref="Z27:Z28"/>
    <mergeCell ref="U14:W15"/>
    <mergeCell ref="U17:W17"/>
    <mergeCell ref="U18:W18"/>
    <mergeCell ref="U19:W19"/>
    <mergeCell ref="AD8:AF8"/>
    <mergeCell ref="AD21:AF21"/>
    <mergeCell ref="AD16:AF16"/>
    <mergeCell ref="AD17:AF17"/>
    <mergeCell ref="AD18:AF18"/>
    <mergeCell ref="AA21:AC21"/>
    <mergeCell ref="AD20:AF20"/>
    <mergeCell ref="R21:T21"/>
    <mergeCell ref="U21:W21"/>
    <mergeCell ref="R8:T8"/>
    <mergeCell ref="AD19:AF19"/>
    <mergeCell ref="AA16:AC16"/>
    <mergeCell ref="T57:U57"/>
    <mergeCell ref="V57:Z57"/>
    <mergeCell ref="J57:K57"/>
    <mergeCell ref="P57:Q57"/>
    <mergeCell ref="F57:G57"/>
    <mergeCell ref="T56:U56"/>
    <mergeCell ref="V56:Z56"/>
    <mergeCell ref="R57:S57"/>
    <mergeCell ref="H57:I57"/>
    <mergeCell ref="L57:M57"/>
    <mergeCell ref="N57:O57"/>
    <mergeCell ref="H56:I56"/>
    <mergeCell ref="J56:K56"/>
    <mergeCell ref="R56:S56"/>
    <mergeCell ref="L56:M56"/>
    <mergeCell ref="N56:O56"/>
    <mergeCell ref="P56:Q56"/>
    <mergeCell ref="F56:G56"/>
    <mergeCell ref="A57:E57"/>
    <mergeCell ref="T55:U55"/>
    <mergeCell ref="V55:Z55"/>
    <mergeCell ref="G7:Q7"/>
    <mergeCell ref="D17:G17"/>
    <mergeCell ref="D18:G18"/>
    <mergeCell ref="A8:Q8"/>
    <mergeCell ref="P17:Q17"/>
    <mergeCell ref="P18:Q18"/>
    <mergeCell ref="B18:C18"/>
    <mergeCell ref="V51:Z51"/>
    <mergeCell ref="T54:U54"/>
    <mergeCell ref="V54:Z54"/>
    <mergeCell ref="T53:U53"/>
    <mergeCell ref="V53:Z53"/>
    <mergeCell ref="V52:Z52"/>
    <mergeCell ref="T52:U52"/>
    <mergeCell ref="L50:M50"/>
    <mergeCell ref="H50:I50"/>
    <mergeCell ref="V50:Z50"/>
    <mergeCell ref="P48:Q48"/>
    <mergeCell ref="R48:S48"/>
    <mergeCell ref="V49:Z49"/>
    <mergeCell ref="T48:U48"/>
    <mergeCell ref="B37:L37"/>
    <mergeCell ref="B38:L38"/>
    <mergeCell ref="A13:A15"/>
    <mergeCell ref="D13:G15"/>
    <mergeCell ref="H13:O15"/>
    <mergeCell ref="B30:L30"/>
    <mergeCell ref="P13:Q15"/>
    <mergeCell ref="R13:Z13"/>
    <mergeCell ref="B13:C15"/>
    <mergeCell ref="B16:C16"/>
    <mergeCell ref="O27:O28"/>
    <mergeCell ref="X20:Z20"/>
    <mergeCell ref="X21:Z21"/>
    <mergeCell ref="H17:O17"/>
    <mergeCell ref="H18:O18"/>
    <mergeCell ref="D20:G20"/>
    <mergeCell ref="X16:Z16"/>
    <mergeCell ref="U16:W16"/>
    <mergeCell ref="B20:C20"/>
    <mergeCell ref="H19:O19"/>
    <mergeCell ref="P16:Q16"/>
    <mergeCell ref="P19:Q19"/>
    <mergeCell ref="D16:G16"/>
    <mergeCell ref="U26:X26"/>
    <mergeCell ref="P20:Q20"/>
    <mergeCell ref="X18:Z18"/>
    <mergeCell ref="X19:Z19"/>
    <mergeCell ref="R20:T20"/>
    <mergeCell ref="R19:T19"/>
    <mergeCell ref="U20:W20"/>
    <mergeCell ref="X17:Z17"/>
    <mergeCell ref="D19:G19"/>
    <mergeCell ref="B35:L35"/>
    <mergeCell ref="S27:S28"/>
    <mergeCell ref="T27:T28"/>
    <mergeCell ref="Q27:Q28"/>
    <mergeCell ref="R27:R28"/>
  </mergeCells>
  <phoneticPr fontId="3" type="noConversion"/>
  <pageMargins left="0.72" right="0.59055118110236227" top="0.78740157480314965" bottom="0.78740157480314965" header="0.31496062992125984" footer="0.31496062992125984"/>
  <pageSetup paperSize="9" scale="34" orientation="landscape" verticalDpi="1200" r:id="rId1"/>
  <headerFooter alignWithMargins="0">
    <oddHeader>&amp;C&amp;"Times New Roman,обычный"&amp;16
 &amp;14 15&amp;R&amp;"Times New Roman,обычный"&amp;14Продовження додатка 3
Таблиця 6</oddHeader>
  </headerFooter>
  <ignoredErrors>
    <ignoredError sqref="U21:Z21 AE41:AF41 R8 U8:Z8 R21 M40:N40 F57:U57" formulaRange="1"/>
    <ignoredError sqref="AA41:AB41 O41 M41 P41:Q41 S41:U41 W41:Y41" evalError="1" formulaRange="1"/>
    <ignoredError sqref="AC41:AD41 N41 R41 V41 Z41" evalError="1"/>
    <ignoredError sqref="AC40 Q40:R40 Y40:Z40 U40" evalError="1" formula="1" formulaRange="1"/>
    <ignoredError sqref="X40" evalError="1" formula="1"/>
    <ignoredError sqref="AA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nachpev</cp:lastModifiedBy>
  <cp:lastPrinted>2020-04-28T11:46:32Z</cp:lastPrinted>
  <dcterms:created xsi:type="dcterms:W3CDTF">2003-03-13T16:00:22Z</dcterms:created>
  <dcterms:modified xsi:type="dcterms:W3CDTF">2020-07-01T07:53:31Z</dcterms:modified>
</cp:coreProperties>
</file>