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Сергей\Desktop\"/>
    </mc:Choice>
  </mc:AlternateContent>
  <bookViews>
    <workbookView xWindow="0" yWindow="0" windowWidth="28800" windowHeight="11832"/>
  </bookViews>
  <sheets>
    <sheet name="тариф та структура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3" l="1"/>
  <c r="H19" i="3"/>
  <c r="H18" i="3"/>
  <c r="H12" i="3"/>
  <c r="I7" i="3"/>
  <c r="J7" i="3"/>
  <c r="D7" i="3"/>
  <c r="D17" i="3"/>
  <c r="D18" i="3"/>
  <c r="D19" i="3"/>
  <c r="J12" i="3"/>
  <c r="B9" i="3"/>
  <c r="H8" i="3" l="1"/>
  <c r="D8" i="3"/>
  <c r="D13" i="3"/>
  <c r="H13" i="3"/>
  <c r="J13" i="3"/>
  <c r="J22" i="3"/>
  <c r="H22" i="3"/>
  <c r="B19" i="3"/>
  <c r="B17" i="3"/>
  <c r="B16" i="3"/>
  <c r="K14" i="3"/>
  <c r="B14" i="3"/>
  <c r="K13" i="3"/>
  <c r="I13" i="3"/>
  <c r="G13" i="3"/>
  <c r="C13" i="3"/>
  <c r="B13" i="3"/>
  <c r="D12" i="3"/>
  <c r="C12" i="3"/>
  <c r="B12" i="3"/>
  <c r="B11" i="3"/>
  <c r="K15" i="3" l="1"/>
  <c r="K10" i="3"/>
  <c r="K9" i="3"/>
  <c r="I10" i="3"/>
  <c r="J10" i="3" s="1"/>
  <c r="G9" i="3"/>
  <c r="H9" i="3" s="1"/>
  <c r="G10" i="3"/>
  <c r="H10" i="3" s="1"/>
  <c r="I9" i="3"/>
  <c r="J9" i="3" s="1"/>
  <c r="C10" i="3"/>
  <c r="D10" i="3" s="1"/>
  <c r="K16" i="3"/>
  <c r="K19" i="3"/>
  <c r="K17" i="3"/>
  <c r="C14" i="3"/>
  <c r="D14" i="3" s="1"/>
  <c r="G14" i="3"/>
  <c r="H14" i="3" s="1"/>
  <c r="I14" i="3"/>
  <c r="J14" i="3" s="1"/>
  <c r="B18" i="3"/>
  <c r="C9" i="3"/>
  <c r="D9" i="3" s="1"/>
  <c r="C15" i="3"/>
  <c r="D15" i="3" s="1"/>
  <c r="G15" i="3"/>
  <c r="H15" i="3" s="1"/>
  <c r="I15" i="3"/>
  <c r="J15" i="3" s="1"/>
  <c r="C16" i="3"/>
  <c r="D16" i="3" s="1"/>
  <c r="G16" i="3"/>
  <c r="H16" i="3" s="1"/>
  <c r="I16" i="3"/>
  <c r="J16" i="3" s="1"/>
  <c r="C17" i="3"/>
  <c r="G17" i="3"/>
  <c r="H17" i="3" s="1"/>
  <c r="I17" i="3"/>
  <c r="J17" i="3" s="1"/>
  <c r="C19" i="3"/>
  <c r="G19" i="3"/>
  <c r="I19" i="3"/>
  <c r="J19" i="3" s="1"/>
  <c r="K18" i="3" l="1"/>
  <c r="I18" i="3"/>
  <c r="J18" i="3" s="1"/>
  <c r="J11" i="3" s="1"/>
  <c r="G18" i="3"/>
  <c r="H11" i="3" s="1"/>
  <c r="C18" i="3"/>
  <c r="D11" i="3" l="1"/>
  <c r="D6" i="3"/>
  <c r="J8" i="3"/>
  <c r="J6" i="3" s="1"/>
  <c r="H7" i="3"/>
</calcChain>
</file>

<file path=xl/sharedStrings.xml><?xml version="1.0" encoding="utf-8"?>
<sst xmlns="http://schemas.openxmlformats.org/spreadsheetml/2006/main" count="43" uniqueCount="27">
  <si>
    <t>податки</t>
  </si>
  <si>
    <t>електроенергія</t>
  </si>
  <si>
    <t>релігія</t>
  </si>
  <si>
    <t>амортизація пряма</t>
  </si>
  <si>
    <t>Оренда ЦМК</t>
  </si>
  <si>
    <t>нарахування на заробітну плату</t>
  </si>
  <si>
    <t xml:space="preserve">заробітна плата </t>
  </si>
  <si>
    <t>паливо</t>
  </si>
  <si>
    <t>Інші витрати</t>
  </si>
  <si>
    <t>Населення</t>
  </si>
  <si>
    <t>Бюджетні установи</t>
  </si>
  <si>
    <t>Інші споживачі</t>
  </si>
  <si>
    <t>Тариф, грн/Гкал без ПДВ</t>
  </si>
  <si>
    <t>ПДВ</t>
  </si>
  <si>
    <t>Тариф на теплову енергію, грн/Гкал(з ПДВ)</t>
  </si>
  <si>
    <t>Тариф на гаряче водопостачання, грн/м3 (з ПДВ)</t>
  </si>
  <si>
    <t>з рушникосушарками</t>
  </si>
  <si>
    <t>без рушникосушарок</t>
  </si>
  <si>
    <t>Загальний розмір тарифу та його структура</t>
  </si>
  <si>
    <t>*витрати на повірку приладів обліку теплової енергії та гарячого водопостачання до розрахунку тарифу не включалися, згідгно ЗУ " Про комерційний облік теплової енергії та водопостачання" від 22.06.2017 № 2119-VIII</t>
  </si>
  <si>
    <t>Податок на прибуток</t>
  </si>
  <si>
    <t>Собівартість теплової енергії</t>
  </si>
  <si>
    <t>Інвестиційна складова та ін.</t>
  </si>
  <si>
    <t>Тариф на послугу з централізованого опалення, грн/Гкал(з ПДВ)</t>
  </si>
  <si>
    <t>Тариф на послугу з централізованого опалення, грн/Гкал без ПДВ</t>
  </si>
  <si>
    <t>Тариф на послугу з централізованого опалення, грн/м2(з ПДВ)</t>
  </si>
  <si>
    <t>Тариф на послугу з централізованого постачання гарячої водигаряче водопостачання, грн/м3 (з ПДВ)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</si>
</sst>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sz val="2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4" fontId="0" fillId="0" borderId="1" xfId="0" applyNumberFormat="1" applyFill="1" applyBorder="1" applyAlignment="1">
      <alignment horizontal="center"/>
    </xf>
    <xf numFmtId="4" fontId="2" fillId="2" borderId="1" xfId="0" applyNumberFormat="1" applyFont="1" applyFill="1" applyBorder="1"/>
    <xf numFmtId="4" fontId="2" fillId="0" borderId="1" xfId="0" applyNumberFormat="1" applyFont="1" applyBorder="1"/>
    <xf numFmtId="4" fontId="3" fillId="3" borderId="1" xfId="0" applyNumberFormat="1" applyFont="1" applyFill="1" applyBorder="1"/>
    <xf numFmtId="4" fontId="2" fillId="0" borderId="1" xfId="0" applyNumberFormat="1" applyFont="1" applyBorder="1" applyAlignment="1">
      <alignment wrapText="1"/>
    </xf>
    <xf numFmtId="4" fontId="4" fillId="2" borderId="1" xfId="0" applyNumberFormat="1" applyFont="1" applyFill="1" applyBorder="1"/>
    <xf numFmtId="4" fontId="2" fillId="2" borderId="1" xfId="0" applyNumberFormat="1" applyFont="1" applyFill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4" borderId="3" xfId="0" applyNumberFormat="1" applyFont="1" applyFill="1" applyBorder="1" applyAlignment="1">
      <alignment horizontal="center" vertical="center"/>
    </xf>
    <xf numFmtId="4" fontId="0" fillId="4" borderId="2" xfId="0" applyNumberFormat="1" applyFill="1" applyBorder="1" applyAlignment="1">
      <alignment horizontal="center"/>
    </xf>
    <xf numFmtId="4" fontId="4" fillId="4" borderId="2" xfId="0" applyNumberFormat="1" applyFont="1" applyFill="1" applyBorder="1"/>
    <xf numFmtId="4" fontId="2" fillId="4" borderId="2" xfId="0" applyNumberFormat="1" applyFont="1" applyFill="1" applyBorder="1"/>
    <xf numFmtId="4" fontId="3" fillId="4" borderId="2" xfId="0" applyNumberFormat="1" applyFont="1" applyFill="1" applyBorder="1"/>
    <xf numFmtId="4" fontId="2" fillId="4" borderId="4" xfId="0" applyNumberFormat="1" applyFont="1" applyFill="1" applyBorder="1"/>
    <xf numFmtId="4" fontId="1" fillId="2" borderId="1" xfId="0" applyNumberFormat="1" applyFont="1" applyFill="1" applyBorder="1" applyAlignment="1">
      <alignment wrapText="1"/>
    </xf>
    <xf numFmtId="0" fontId="5" fillId="0" borderId="1" xfId="0" applyFont="1" applyBorder="1" applyAlignment="1">
      <alignment vertical="center" wrapText="1"/>
    </xf>
    <xf numFmtId="0" fontId="0" fillId="0" borderId="0" xfId="0" applyAlignment="1">
      <alignment vertical="center"/>
    </xf>
    <xf numFmtId="2" fontId="5" fillId="0" borderId="1" xfId="0" applyNumberFormat="1" applyFont="1" applyBorder="1" applyAlignment="1">
      <alignment vertical="center" wrapText="1"/>
    </xf>
    <xf numFmtId="4" fontId="3" fillId="4" borderId="1" xfId="0" applyNumberFormat="1" applyFont="1" applyFill="1" applyBorder="1"/>
    <xf numFmtId="4" fontId="2" fillId="3" borderId="1" xfId="0" applyNumberFormat="1" applyFont="1" applyFill="1" applyBorder="1"/>
    <xf numFmtId="4" fontId="4" fillId="3" borderId="1" xfId="0" applyNumberFormat="1" applyFont="1" applyFill="1" applyBorder="1"/>
    <xf numFmtId="4" fontId="2" fillId="4" borderId="1" xfId="0" applyNumberFormat="1" applyFont="1" applyFill="1" applyBorder="1"/>
    <xf numFmtId="4" fontId="3" fillId="3" borderId="1" xfId="0" applyNumberFormat="1" applyFont="1" applyFill="1" applyBorder="1" applyAlignment="1">
      <alignment wrapText="1"/>
    </xf>
    <xf numFmtId="4" fontId="4" fillId="2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right" vertical="center" wrapText="1"/>
    </xf>
    <xf numFmtId="0" fontId="5" fillId="0" borderId="4" xfId="0" applyFont="1" applyBorder="1" applyAlignment="1">
      <alignment vertical="center" wrapText="1"/>
    </xf>
    <xf numFmtId="2" fontId="5" fillId="0" borderId="4" xfId="0" applyNumberFormat="1" applyFont="1" applyBorder="1" applyAlignment="1">
      <alignment vertical="center" wrapText="1"/>
    </xf>
    <xf numFmtId="4" fontId="2" fillId="0" borderId="1" xfId="0" applyNumberFormat="1" applyFont="1" applyFill="1" applyBorder="1" applyAlignment="1">
      <alignment vertical="center" wrapText="1"/>
    </xf>
    <xf numFmtId="0" fontId="1" fillId="0" borderId="1" xfId="0" applyFont="1" applyBorder="1"/>
    <xf numFmtId="0" fontId="6" fillId="0" borderId="0" xfId="0" applyFont="1" applyAlignment="1">
      <alignment horizontal="center"/>
    </xf>
    <xf numFmtId="0" fontId="0" fillId="0" borderId="0" xfId="0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tabSelected="1" zoomScale="86" zoomScaleNormal="86" workbookViewId="0">
      <selection activeCell="L9" sqref="L9"/>
    </sheetView>
  </sheetViews>
  <sheetFormatPr defaultRowHeight="14.4" x14ac:dyDescent="0.3"/>
  <cols>
    <col min="1" max="1" width="44.5546875" customWidth="1"/>
    <col min="2" max="3" width="18.6640625" hidden="1" customWidth="1"/>
    <col min="4" max="5" width="18.6640625" customWidth="1"/>
    <col min="6" max="6" width="38.109375" customWidth="1"/>
    <col min="7" max="7" width="18.6640625" hidden="1" customWidth="1"/>
    <col min="8" max="8" width="18.6640625" customWidth="1"/>
    <col min="9" max="9" width="18.6640625" hidden="1" customWidth="1"/>
    <col min="10" max="10" width="18.6640625" customWidth="1"/>
    <col min="11" max="11" width="13.33203125" hidden="1" customWidth="1"/>
  </cols>
  <sheetData>
    <row r="1" spans="1:11" ht="28.8" x14ac:dyDescent="0.55000000000000004">
      <c r="A1" s="36" t="s">
        <v>18</v>
      </c>
      <c r="B1" s="36"/>
      <c r="C1" s="36"/>
      <c r="D1" s="36"/>
      <c r="E1" s="36"/>
      <c r="F1" s="36"/>
      <c r="G1" s="36"/>
      <c r="H1" s="36"/>
      <c r="I1" s="36"/>
      <c r="J1" s="36"/>
    </row>
    <row r="3" spans="1:11" ht="42" x14ac:dyDescent="0.3">
      <c r="A3" s="11"/>
      <c r="B3" s="11"/>
      <c r="C3" s="11"/>
      <c r="D3" s="12" t="s">
        <v>9</v>
      </c>
      <c r="E3" s="15"/>
      <c r="F3" s="12"/>
      <c r="G3" s="12"/>
      <c r="H3" s="13" t="s">
        <v>10</v>
      </c>
      <c r="I3" s="13"/>
      <c r="J3" s="14" t="s">
        <v>11</v>
      </c>
      <c r="K3" s="4" t="s">
        <v>2</v>
      </c>
    </row>
    <row r="4" spans="1:11" x14ac:dyDescent="0.3">
      <c r="A4" s="1"/>
      <c r="B4" s="1"/>
      <c r="C4" s="1"/>
      <c r="D4" s="2"/>
      <c r="E4" s="16"/>
      <c r="F4" s="2"/>
      <c r="G4" s="2"/>
      <c r="H4" s="2"/>
      <c r="I4" s="2"/>
      <c r="J4" s="3"/>
      <c r="K4" s="4"/>
    </row>
    <row r="5" spans="1:11" ht="63" x14ac:dyDescent="0.4">
      <c r="A5" s="21" t="s">
        <v>25</v>
      </c>
      <c r="B5" s="1"/>
      <c r="C5" s="1"/>
      <c r="D5" s="30">
        <v>35.51</v>
      </c>
      <c r="E5" s="16"/>
      <c r="F5" s="2"/>
      <c r="G5" s="2"/>
      <c r="H5" s="2"/>
      <c r="I5" s="2"/>
      <c r="J5" s="3"/>
      <c r="K5" s="4"/>
    </row>
    <row r="6" spans="1:11" ht="64.5" customHeight="1" x14ac:dyDescent="0.5">
      <c r="A6" s="21" t="s">
        <v>23</v>
      </c>
      <c r="B6" s="5"/>
      <c r="C6" s="5"/>
      <c r="D6" s="9">
        <f>D8*1.2</f>
        <v>1504.2978322169581</v>
      </c>
      <c r="E6" s="17"/>
      <c r="F6" s="21" t="s">
        <v>14</v>
      </c>
      <c r="G6" s="5"/>
      <c r="H6" s="9">
        <f>H8*1.2+0.003</f>
        <v>2015.3936712076031</v>
      </c>
      <c r="I6" s="9"/>
      <c r="J6" s="9">
        <f>J8*1.2</f>
        <v>2045.7043934379826</v>
      </c>
      <c r="K6" s="5"/>
    </row>
    <row r="7" spans="1:11" ht="33.75" customHeight="1" x14ac:dyDescent="0.5">
      <c r="A7" s="10" t="s">
        <v>13</v>
      </c>
      <c r="B7" s="5"/>
      <c r="C7" s="5"/>
      <c r="D7" s="9">
        <f>D6-D8</f>
        <v>250.71630536949306</v>
      </c>
      <c r="E7" s="17"/>
      <c r="F7" s="10" t="s">
        <v>13</v>
      </c>
      <c r="G7" s="5"/>
      <c r="H7" s="9">
        <f>H6-H8</f>
        <v>335.90144520126705</v>
      </c>
      <c r="I7" s="9">
        <f t="shared" ref="I7:J7" si="0">I6-I8</f>
        <v>0</v>
      </c>
      <c r="J7" s="9">
        <f t="shared" si="0"/>
        <v>340.95073223966369</v>
      </c>
      <c r="K7" s="5"/>
    </row>
    <row r="8" spans="1:11" ht="48.75" customHeight="1" x14ac:dyDescent="0.5">
      <c r="A8" s="29" t="s">
        <v>24</v>
      </c>
      <c r="B8" s="26"/>
      <c r="C8" s="26"/>
      <c r="D8" s="27">
        <f>D9+D10+D12+D13+D14+D15+D16+D17+D18+D19</f>
        <v>1253.5815268474651</v>
      </c>
      <c r="E8" s="17"/>
      <c r="F8" s="7" t="s">
        <v>12</v>
      </c>
      <c r="G8" s="26"/>
      <c r="H8" s="27">
        <f>H9+H10+H12+H13+H14+H15+H16+H17+H18+H19</f>
        <v>1679.4922260063361</v>
      </c>
      <c r="I8" s="27"/>
      <c r="J8" s="27">
        <f>J9+J10+J12+J13+J14+J15+J16+J17+J18+J19</f>
        <v>1704.7536611983189</v>
      </c>
      <c r="K8" s="26"/>
    </row>
    <row r="9" spans="1:11" ht="33.75" customHeight="1" x14ac:dyDescent="0.5">
      <c r="A9" s="28" t="s">
        <v>22</v>
      </c>
      <c r="B9" s="28">
        <f>4515752.24</f>
        <v>4515752.24</v>
      </c>
      <c r="C9" s="25">
        <f>B9/B11*C11</f>
        <v>3420194.0637444071</v>
      </c>
      <c r="D9" s="28">
        <f>C9/C11</f>
        <v>8.0372787876156959</v>
      </c>
      <c r="E9" s="17"/>
      <c r="F9" s="28" t="s">
        <v>22</v>
      </c>
      <c r="G9" s="28">
        <f>B9/B11*G11</f>
        <v>981836.78974270914</v>
      </c>
      <c r="H9" s="28">
        <f>G9/G11</f>
        <v>8.0372787876156959</v>
      </c>
      <c r="I9" s="28">
        <f>B9/B11*I11</f>
        <v>110678.8746278316</v>
      </c>
      <c r="J9" s="28">
        <f>I9/I11</f>
        <v>8.0372787876156959</v>
      </c>
      <c r="K9" s="28">
        <f>B9/B11*K11</f>
        <v>3042.5118850519216</v>
      </c>
    </row>
    <row r="10" spans="1:11" ht="20.25" customHeight="1" x14ac:dyDescent="0.35">
      <c r="A10" s="28" t="s">
        <v>20</v>
      </c>
      <c r="B10" s="28">
        <v>991263</v>
      </c>
      <c r="C10" s="25">
        <f>B10/B11*C11</f>
        <v>750774.54386856977</v>
      </c>
      <c r="D10" s="28">
        <f>C10/C11</f>
        <v>1.7642812668677983</v>
      </c>
      <c r="E10" s="18"/>
      <c r="F10" s="28" t="s">
        <v>20</v>
      </c>
      <c r="G10" s="28">
        <f>B10/B11*G11</f>
        <v>215525.21705901367</v>
      </c>
      <c r="H10" s="28">
        <f>G10/G11</f>
        <v>1.7642812668677983</v>
      </c>
      <c r="I10" s="28">
        <f>B10/B11*I11</f>
        <v>24295.370398843723</v>
      </c>
      <c r="J10" s="28">
        <f>I10/I11</f>
        <v>1.7642812668677983</v>
      </c>
      <c r="K10" s="28">
        <f>B10/B11*K11</f>
        <v>667.86867357280505</v>
      </c>
    </row>
    <row r="11" spans="1:11" ht="18" hidden="1" x14ac:dyDescent="0.35">
      <c r="A11" s="7" t="s">
        <v>21</v>
      </c>
      <c r="B11" s="7">
        <f>C11+G11+I11+K11</f>
        <v>561850.89</v>
      </c>
      <c r="C11" s="7">
        <v>425541.3</v>
      </c>
      <c r="D11" s="7">
        <f>SUM(D12:D19)</f>
        <v>1243.7799667929814</v>
      </c>
      <c r="E11" s="19"/>
      <c r="F11" s="7" t="s">
        <v>12</v>
      </c>
      <c r="G11" s="7">
        <v>122160.35</v>
      </c>
      <c r="H11" s="7">
        <f>SUM(H12:H19)</f>
        <v>1669.6906659518527</v>
      </c>
      <c r="I11" s="7">
        <v>13770.69</v>
      </c>
      <c r="J11" s="7">
        <f>SUM(J12:J19)</f>
        <v>1694.9521011438355</v>
      </c>
      <c r="K11" s="7">
        <v>378.55</v>
      </c>
    </row>
    <row r="12" spans="1:11" ht="18" x14ac:dyDescent="0.35">
      <c r="A12" s="6" t="s">
        <v>7</v>
      </c>
      <c r="B12" s="6">
        <f>(C12+G12+I12+K12)*1000</f>
        <v>556092127.00000012</v>
      </c>
      <c r="C12" s="6">
        <f>379622.148</f>
        <v>379622.14799999999</v>
      </c>
      <c r="D12" s="6">
        <f>C12/$C$11*1000</f>
        <v>892.09237270272001</v>
      </c>
      <c r="E12" s="18"/>
      <c r="F12" s="6" t="s">
        <v>7</v>
      </c>
      <c r="G12" s="6">
        <v>157550.58100000001</v>
      </c>
      <c r="H12" s="6">
        <f>G12/$G$11*1000+45.075</f>
        <v>1334.7780910602337</v>
      </c>
      <c r="I12" s="6">
        <v>18728.745999999999</v>
      </c>
      <c r="J12" s="6">
        <f t="shared" ref="J12:J17" si="1">I12/$I$11*1000</f>
        <v>1360.0441226982816</v>
      </c>
      <c r="K12" s="6">
        <v>190.65199999999999</v>
      </c>
    </row>
    <row r="13" spans="1:11" ht="18" x14ac:dyDescent="0.35">
      <c r="A13" s="6" t="s">
        <v>1</v>
      </c>
      <c r="B13" s="6">
        <f>40964053.51-36782.62</f>
        <v>40927270.890000001</v>
      </c>
      <c r="C13" s="6">
        <f>6481.92+24545.45</f>
        <v>31027.370000000003</v>
      </c>
      <c r="D13" s="6">
        <f>C13/$C$11*1000</f>
        <v>72.912711410149868</v>
      </c>
      <c r="E13" s="18"/>
      <c r="F13" s="6" t="s">
        <v>1</v>
      </c>
      <c r="G13" s="6">
        <f>1860.77+7046.27</f>
        <v>8907.0400000000009</v>
      </c>
      <c r="H13" s="6">
        <f t="shared" ref="H13:H17" si="2">G13/$G$11*1000</f>
        <v>72.912692211507263</v>
      </c>
      <c r="I13" s="6">
        <f>209.76+794.3</f>
        <v>1004.06</v>
      </c>
      <c r="J13" s="6">
        <f t="shared" si="1"/>
        <v>72.91283152841288</v>
      </c>
      <c r="K13" s="6">
        <f>5.77+21.83</f>
        <v>27.599999999999998</v>
      </c>
    </row>
    <row r="14" spans="1:11" ht="18" x14ac:dyDescent="0.35">
      <c r="A14" s="6" t="s">
        <v>3</v>
      </c>
      <c r="B14" s="6">
        <f>25940537.93-96371.04-37563.51</f>
        <v>25806603.379999999</v>
      </c>
      <c r="C14" s="6">
        <f>B14/B11*C11/1000</f>
        <v>19545.711765108343</v>
      </c>
      <c r="D14" s="6">
        <f>C14/$C$11*1000</f>
        <v>45.931409630765202</v>
      </c>
      <c r="E14" s="18"/>
      <c r="F14" s="6" t="s">
        <v>3</v>
      </c>
      <c r="G14" s="6">
        <f>B14/B11*G11/1000</f>
        <v>5610.997076487648</v>
      </c>
      <c r="H14" s="6">
        <f t="shared" si="2"/>
        <v>45.931409630765202</v>
      </c>
      <c r="I14" s="6">
        <f>B14/B11*I11/1000</f>
        <v>632.50720328828208</v>
      </c>
      <c r="J14" s="6">
        <f t="shared" si="1"/>
        <v>45.931409630765202</v>
      </c>
      <c r="K14" s="6">
        <f>10.58+9.75</f>
        <v>20.329999999999998</v>
      </c>
    </row>
    <row r="15" spans="1:11" ht="18" x14ac:dyDescent="0.35">
      <c r="A15" s="6" t="s">
        <v>0</v>
      </c>
      <c r="B15" s="6">
        <v>3151444.45</v>
      </c>
      <c r="C15" s="6">
        <f>B15/B11*C11/1000</f>
        <v>2386.8784262863496</v>
      </c>
      <c r="D15" s="6">
        <f>C15/$C$11*1000</f>
        <v>5.6090405943826127</v>
      </c>
      <c r="E15" s="18"/>
      <c r="F15" s="6" t="s">
        <v>0</v>
      </c>
      <c r="G15" s="6">
        <f>B15/B11*G11/1000</f>
        <v>685.20236217398804</v>
      </c>
      <c r="H15" s="6">
        <f t="shared" si="2"/>
        <v>5.6090405943826127</v>
      </c>
      <c r="I15" s="6">
        <f>B15/B11*I11/1000</f>
        <v>77.240359222658711</v>
      </c>
      <c r="J15" s="6">
        <f t="shared" si="1"/>
        <v>5.6090405943826136</v>
      </c>
      <c r="K15" s="6">
        <f>B15/B11*K11/1000</f>
        <v>2.1233023170035379</v>
      </c>
    </row>
    <row r="16" spans="1:11" ht="18" x14ac:dyDescent="0.35">
      <c r="A16" s="6" t="s">
        <v>4</v>
      </c>
      <c r="B16" s="6">
        <f>11084437.07-842.41</f>
        <v>11083594.66</v>
      </c>
      <c r="C16" s="6">
        <f>B16/B11*C11/1000</f>
        <v>8394.624560066919</v>
      </c>
      <c r="D16" s="6">
        <f>C16/$C$11*1000</f>
        <v>19.726932638657914</v>
      </c>
      <c r="E16" s="18"/>
      <c r="F16" s="6" t="s">
        <v>4</v>
      </c>
      <c r="G16" s="6">
        <f>B16/B11*G11/1000</f>
        <v>2409.8489955648747</v>
      </c>
      <c r="H16" s="6">
        <f t="shared" si="2"/>
        <v>19.726932638657917</v>
      </c>
      <c r="I16" s="6">
        <f>B16/B11*I11/1000</f>
        <v>271.65347401784021</v>
      </c>
      <c r="J16" s="6">
        <f t="shared" si="1"/>
        <v>19.726932638657917</v>
      </c>
      <c r="K16" s="6">
        <f>B16/B11*K11/1000</f>
        <v>7.4676303503639545</v>
      </c>
    </row>
    <row r="17" spans="1:11" ht="18" x14ac:dyDescent="0.35">
      <c r="A17" s="6" t="s">
        <v>6</v>
      </c>
      <c r="B17" s="6">
        <f>77030405.44-2416460.52-1544827.08</f>
        <v>73069117.840000004</v>
      </c>
      <c r="C17" s="6">
        <f>B17/B11*C11/1000</f>
        <v>55341.956289304428</v>
      </c>
      <c r="D17" s="6">
        <f>C17/$C$11*1000+5.755</f>
        <v>135.80572901103707</v>
      </c>
      <c r="E17" s="18"/>
      <c r="F17" s="6" t="s">
        <v>6</v>
      </c>
      <c r="G17" s="6">
        <f>B17/B11*G11/1000</f>
        <v>15887.042573743443</v>
      </c>
      <c r="H17" s="6">
        <f t="shared" si="2"/>
        <v>130.05072901103708</v>
      </c>
      <c r="I17" s="6">
        <f>B17/B11*I11/1000</f>
        <v>1790.8882734849981</v>
      </c>
      <c r="J17" s="6">
        <f t="shared" si="1"/>
        <v>130.05072901103708</v>
      </c>
      <c r="K17" s="6">
        <f>B17/B11*K11/1000</f>
        <v>49.230703467128087</v>
      </c>
    </row>
    <row r="18" spans="1:11" ht="18" x14ac:dyDescent="0.35">
      <c r="A18" s="8" t="s">
        <v>5</v>
      </c>
      <c r="B18" s="6">
        <f>B17-B17/1.22</f>
        <v>13176398.299016394</v>
      </c>
      <c r="C18" s="6">
        <f>B18/B11*C11/1000</f>
        <v>9979.6970357762093</v>
      </c>
      <c r="D18" s="6">
        <f>C18/C11*1000+1.265</f>
        <v>24.716770805268983</v>
      </c>
      <c r="E18" s="18"/>
      <c r="F18" s="8" t="s">
        <v>5</v>
      </c>
      <c r="G18" s="6">
        <f>B18/B11*G11/1000</f>
        <v>2864.8765296914412</v>
      </c>
      <c r="H18" s="6">
        <f>G18/$G$11*1000</f>
        <v>23.451770805268982</v>
      </c>
      <c r="I18" s="6">
        <f>B18/B11*I11</f>
        <v>322947.06571040954</v>
      </c>
      <c r="J18" s="6">
        <f>I18/$I$11*1000/1000</f>
        <v>23.451770805268982</v>
      </c>
      <c r="K18" s="6">
        <f>B18/B11*K11/1000</f>
        <v>8.877667838334574</v>
      </c>
    </row>
    <row r="19" spans="1:11" ht="18" x14ac:dyDescent="0.35">
      <c r="A19" s="6" t="s">
        <v>8</v>
      </c>
      <c r="B19" s="6">
        <f>50168866.06-11084437.07-675347.47-44256.174-2404014.04-27826.2-15722498.28+1.25*561850.89</f>
        <v>20912800.438499998</v>
      </c>
      <c r="C19" s="6">
        <f>B19/B11*C11/1000</f>
        <v>15839.18517106889</v>
      </c>
      <c r="D19" s="6">
        <f>37.23+7.58+2.175</f>
        <v>46.984999999999992</v>
      </c>
      <c r="E19" s="20"/>
      <c r="F19" s="6" t="s">
        <v>8</v>
      </c>
      <c r="G19" s="6">
        <f>B19/B11*G11/1000</f>
        <v>4546.9626666379636</v>
      </c>
      <c r="H19" s="6">
        <f>37.23</f>
        <v>37.229999999999997</v>
      </c>
      <c r="I19" s="6">
        <f>B19/B11*I11/1000</f>
        <v>512.56249121621488</v>
      </c>
      <c r="J19" s="6">
        <f>I19/$I$11*1000+0.004</f>
        <v>37.225264237029144</v>
      </c>
      <c r="K19" s="6">
        <f>B19/B11*K11/1000</f>
        <v>14.090109576927384</v>
      </c>
    </row>
    <row r="21" spans="1:11" ht="72" x14ac:dyDescent="0.3">
      <c r="A21" s="34" t="s">
        <v>26</v>
      </c>
      <c r="B21" s="1"/>
      <c r="C21" s="1"/>
      <c r="D21" s="1"/>
      <c r="F21" s="34" t="s">
        <v>26</v>
      </c>
      <c r="G21" s="1"/>
      <c r="H21" s="11">
        <v>90.6</v>
      </c>
      <c r="I21" s="11"/>
      <c r="J21" s="11">
        <v>91.85</v>
      </c>
    </row>
    <row r="22" spans="1:11" ht="77.400000000000006" hidden="1" x14ac:dyDescent="0.3">
      <c r="A22" s="22" t="s">
        <v>15</v>
      </c>
      <c r="B22" s="22"/>
      <c r="C22" s="22"/>
      <c r="D22" s="22"/>
      <c r="E22" s="23"/>
      <c r="F22" s="32" t="s">
        <v>15</v>
      </c>
      <c r="G22" s="23"/>
      <c r="H22" s="33">
        <f>88.99*1.2</f>
        <v>106.788</v>
      </c>
      <c r="I22" s="33"/>
      <c r="J22" s="33">
        <f>90.25*1.2</f>
        <v>108.3</v>
      </c>
    </row>
    <row r="23" spans="1:11" ht="25.8" hidden="1" x14ac:dyDescent="0.3">
      <c r="A23" s="22" t="s">
        <v>16</v>
      </c>
      <c r="B23" s="22"/>
      <c r="C23" s="22"/>
      <c r="D23" s="22">
        <v>90.38</v>
      </c>
    </row>
    <row r="24" spans="1:11" ht="25.8" hidden="1" x14ac:dyDescent="0.3">
      <c r="A24" s="22" t="s">
        <v>17</v>
      </c>
      <c r="B24" s="22"/>
      <c r="C24" s="22"/>
      <c r="D24" s="24">
        <v>83.55</v>
      </c>
    </row>
    <row r="25" spans="1:11" ht="21" x14ac:dyDescent="0.4">
      <c r="A25" s="31" t="s">
        <v>16</v>
      </c>
      <c r="B25" s="1"/>
      <c r="C25" s="1"/>
      <c r="D25" s="35">
        <v>90.89</v>
      </c>
    </row>
    <row r="26" spans="1:11" ht="21" x14ac:dyDescent="0.4">
      <c r="A26" s="31" t="s">
        <v>17</v>
      </c>
      <c r="B26" s="1"/>
      <c r="C26" s="1"/>
      <c r="D26" s="35">
        <v>84.17</v>
      </c>
    </row>
    <row r="29" spans="1:11" ht="30.75" customHeight="1" x14ac:dyDescent="0.3">
      <c r="A29" s="37" t="s">
        <v>19</v>
      </c>
      <c r="B29" s="37"/>
      <c r="C29" s="37"/>
      <c r="D29" s="37"/>
      <c r="E29" s="37"/>
      <c r="F29" s="37"/>
      <c r="G29" s="37"/>
      <c r="H29" s="37"/>
      <c r="I29" s="37"/>
      <c r="J29" s="37"/>
    </row>
  </sheetData>
  <mergeCells count="2">
    <mergeCell ref="A1:J1"/>
    <mergeCell ref="A29:J29"/>
  </mergeCells>
  <pageMargins left="0.70866141732283472" right="0.70866141732283472" top="0.74803149606299213" bottom="0.74803149606299213" header="0.31496062992125984" footer="0.31496062992125984"/>
  <pageSetup paperSize="9" scale="68" orientation="landscape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тариф та структура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Сергей</cp:lastModifiedBy>
  <cp:lastPrinted>2017-08-15T09:34:42Z</cp:lastPrinted>
  <dcterms:created xsi:type="dcterms:W3CDTF">2017-08-10T06:37:33Z</dcterms:created>
  <dcterms:modified xsi:type="dcterms:W3CDTF">2017-08-17T05:27:58Z</dcterms:modified>
</cp:coreProperties>
</file>